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2.xml" ContentType="application/vnd.openxmlformats-officedocument.spreadsheetml.comment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30" yWindow="0" windowWidth="19560" windowHeight="8340" firstSheet="2" activeTab="2"/>
  </bookViews>
  <sheets>
    <sheet name="DATOS DE LA EMPRESA" sheetId="35" r:id="rId1"/>
    <sheet name="DESCRIPCION DEL PRODUCTO" sheetId="36" r:id="rId2"/>
    <sheet name="DATOS Y SUPUESTOS " sheetId="22" r:id="rId3"/>
    <sheet name="ACTIVO INTANGIBLE " sheetId="25" r:id="rId4"/>
    <sheet name="ROL DE PAGOS " sheetId="23" r:id="rId5"/>
    <sheet name="M. CAPITAL DE TRABAJO " sheetId="18" r:id="rId6"/>
    <sheet name="M. INVERSIÓN" sheetId="17" r:id="rId7"/>
    <sheet name="M. DE FINANCIAMIENTO" sheetId="19" r:id="rId8"/>
    <sheet name="TABLA DE AMORTIZACIÓN " sheetId="20" r:id="rId9"/>
    <sheet name="MATRIZ DE INGRESO " sheetId="28" r:id="rId10"/>
    <sheet name="MATRIZ DE EGRESO " sheetId="29" r:id="rId11"/>
    <sheet name="DEPRECIACIONES" sheetId="27" r:id="rId12"/>
    <sheet name="BALANCE GENRAL " sheetId="24" r:id="rId13"/>
    <sheet name="ESTADO DE RESULTADO " sheetId="14" r:id="rId14"/>
    <sheet name="FLUJO NETO DEL EFECTIVO " sheetId="30" r:id="rId15"/>
    <sheet name="WAC" sheetId="31" r:id="rId16"/>
    <sheet name="INDICADORES ECONOMICOS" sheetId="33" r:id="rId17"/>
    <sheet name="INDICADORES FINANCIEROS" sheetId="37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I31" i="33" l="1"/>
  <c r="B5" i="31" l="1"/>
  <c r="B28" i="30"/>
  <c r="A28" i="30"/>
  <c r="B27" i="30"/>
  <c r="B26" i="30"/>
  <c r="A26" i="30"/>
  <c r="B25" i="30"/>
  <c r="A25" i="30"/>
  <c r="B24" i="30"/>
  <c r="A24" i="30"/>
  <c r="B23" i="30"/>
  <c r="A23" i="30"/>
  <c r="B22" i="30"/>
  <c r="A22" i="30"/>
  <c r="B21" i="30"/>
  <c r="A21" i="30"/>
  <c r="B20" i="30"/>
  <c r="A20" i="30"/>
  <c r="A19" i="30"/>
  <c r="B18" i="30"/>
  <c r="A18" i="30"/>
  <c r="B17" i="30"/>
  <c r="A17" i="30"/>
  <c r="B16" i="30"/>
  <c r="A16" i="30"/>
  <c r="B15" i="30"/>
  <c r="A15" i="30"/>
  <c r="B14" i="30"/>
  <c r="A14" i="30"/>
  <c r="B13" i="30"/>
  <c r="A13" i="30"/>
  <c r="B12" i="30"/>
  <c r="A12" i="30"/>
  <c r="B11" i="30"/>
  <c r="A11" i="30"/>
  <c r="B10" i="30"/>
  <c r="A10" i="30"/>
  <c r="B9" i="30"/>
  <c r="B8" i="30"/>
  <c r="B7" i="30"/>
  <c r="B19" i="14"/>
  <c r="B19" i="30" s="1"/>
  <c r="F8" i="14"/>
  <c r="G8" i="14" s="1"/>
  <c r="J7" i="14"/>
  <c r="H8" i="30" s="1"/>
  <c r="I7" i="14"/>
  <c r="G8" i="30" s="1"/>
  <c r="H7" i="14"/>
  <c r="F8" i="30" s="1"/>
  <c r="G7" i="14"/>
  <c r="E8" i="30" s="1"/>
  <c r="F7" i="14"/>
  <c r="D8" i="30" s="1"/>
  <c r="B44" i="24"/>
  <c r="D25" i="24"/>
  <c r="C24" i="24"/>
  <c r="C26" i="24" s="1"/>
  <c r="C10" i="27"/>
  <c r="E10" i="27" s="1"/>
  <c r="D21" i="24" s="1"/>
  <c r="C9" i="27"/>
  <c r="C18" i="24" s="1"/>
  <c r="D18" i="24" s="1"/>
  <c r="E18" i="24" s="1"/>
  <c r="F18" i="24" s="1"/>
  <c r="G18" i="24" s="1"/>
  <c r="H18" i="24" s="1"/>
  <c r="C8" i="27"/>
  <c r="C16" i="24" s="1"/>
  <c r="D16" i="24" s="1"/>
  <c r="E16" i="24" s="1"/>
  <c r="F16" i="24" s="1"/>
  <c r="G16" i="24" s="1"/>
  <c r="H16" i="24" s="1"/>
  <c r="C7" i="27"/>
  <c r="C14" i="24" s="1"/>
  <c r="D14" i="24" s="1"/>
  <c r="E14" i="24" s="1"/>
  <c r="F14" i="24" s="1"/>
  <c r="G14" i="24" s="1"/>
  <c r="H14" i="24" s="1"/>
  <c r="C6" i="27"/>
  <c r="D12" i="29"/>
  <c r="H17" i="14" s="1"/>
  <c r="F17" i="30" s="1"/>
  <c r="C10" i="29"/>
  <c r="D10" i="29" s="1"/>
  <c r="C9" i="29"/>
  <c r="D9" i="29" s="1"/>
  <c r="C8" i="28"/>
  <c r="C7" i="28"/>
  <c r="C14" i="28" s="1"/>
  <c r="C6" i="28"/>
  <c r="C13" i="28" s="1"/>
  <c r="D13" i="28" s="1"/>
  <c r="C10" i="20"/>
  <c r="C7" i="20"/>
  <c r="C8" i="20" s="1"/>
  <c r="C13" i="17"/>
  <c r="D12" i="17" s="1"/>
  <c r="B13" i="17"/>
  <c r="C11" i="17"/>
  <c r="B11" i="17"/>
  <c r="C10" i="17"/>
  <c r="B10" i="17"/>
  <c r="C9" i="17"/>
  <c r="B9" i="17"/>
  <c r="C8" i="17"/>
  <c r="B8" i="17"/>
  <c r="C7" i="17"/>
  <c r="B7" i="17"/>
  <c r="D6" i="17"/>
  <c r="D14" i="18"/>
  <c r="D13" i="18"/>
  <c r="D12" i="18"/>
  <c r="D11" i="18"/>
  <c r="D8" i="18"/>
  <c r="D7" i="18"/>
  <c r="D6" i="18"/>
  <c r="D5" i="18"/>
  <c r="H26" i="23"/>
  <c r="H25" i="23"/>
  <c r="H24" i="23"/>
  <c r="H23" i="23"/>
  <c r="H22" i="23"/>
  <c r="H21" i="23"/>
  <c r="H27" i="23" s="1"/>
  <c r="H28" i="23" s="1"/>
  <c r="F16" i="23"/>
  <c r="K15" i="23"/>
  <c r="K16" i="23" s="1"/>
  <c r="G15" i="23"/>
  <c r="G16" i="23" s="1"/>
  <c r="F15" i="23"/>
  <c r="E14" i="23"/>
  <c r="H14" i="23" s="1"/>
  <c r="I14" i="23" s="1"/>
  <c r="D14" i="23"/>
  <c r="D26" i="23" s="1"/>
  <c r="C14" i="23"/>
  <c r="C26" i="23" s="1"/>
  <c r="E13" i="23"/>
  <c r="H13" i="23" s="1"/>
  <c r="I13" i="23" s="1"/>
  <c r="D13" i="23"/>
  <c r="D25" i="23" s="1"/>
  <c r="C13" i="23"/>
  <c r="C25" i="23" s="1"/>
  <c r="E12" i="23"/>
  <c r="H12" i="23" s="1"/>
  <c r="I12" i="23" s="1"/>
  <c r="D12" i="23"/>
  <c r="D24" i="23" s="1"/>
  <c r="C12" i="23"/>
  <c r="C24" i="23" s="1"/>
  <c r="E11" i="23"/>
  <c r="H11" i="23" s="1"/>
  <c r="I11" i="23" s="1"/>
  <c r="E10" i="23"/>
  <c r="J10" i="23" s="1"/>
  <c r="L10" i="23" s="1"/>
  <c r="D10" i="23"/>
  <c r="D22" i="23" s="1"/>
  <c r="C10" i="23"/>
  <c r="C22" i="23" s="1"/>
  <c r="E9" i="23"/>
  <c r="J9" i="23" s="1"/>
  <c r="D9" i="23"/>
  <c r="D21" i="23" s="1"/>
  <c r="C9" i="23"/>
  <c r="C21" i="23" s="1"/>
  <c r="E8" i="25"/>
  <c r="D8" i="25"/>
  <c r="C8" i="25"/>
  <c r="C121" i="22"/>
  <c r="C120" i="22"/>
  <c r="F116" i="22"/>
  <c r="F111" i="22"/>
  <c r="F110" i="22"/>
  <c r="E106" i="22"/>
  <c r="G105" i="22"/>
  <c r="F105" i="22"/>
  <c r="D105" i="22"/>
  <c r="C105" i="22"/>
  <c r="D104" i="22"/>
  <c r="G103" i="22"/>
  <c r="F103" i="22"/>
  <c r="D103" i="22"/>
  <c r="G102" i="22"/>
  <c r="D102" i="22"/>
  <c r="G101" i="22"/>
  <c r="D101" i="22"/>
  <c r="C101" i="22"/>
  <c r="G100" i="22"/>
  <c r="D100" i="22"/>
  <c r="E95" i="22"/>
  <c r="E93" i="22"/>
  <c r="E92" i="22"/>
  <c r="E91" i="22"/>
  <c r="E90" i="22"/>
  <c r="E89" i="22"/>
  <c r="E88" i="22"/>
  <c r="E84" i="22"/>
  <c r="C84" i="22"/>
  <c r="C77" i="22"/>
  <c r="E63" i="22"/>
  <c r="F62" i="22"/>
  <c r="C62" i="22"/>
  <c r="F61" i="22"/>
  <c r="C61" i="22"/>
  <c r="F60" i="22"/>
  <c r="C60" i="22"/>
  <c r="F59" i="22"/>
  <c r="C59" i="22"/>
  <c r="F58" i="22"/>
  <c r="C58" i="22"/>
  <c r="F57" i="22"/>
  <c r="C57" i="22"/>
  <c r="F56" i="22"/>
  <c r="C56" i="22"/>
  <c r="F55" i="22"/>
  <c r="C55" i="22"/>
  <c r="F54" i="22"/>
  <c r="C54" i="22"/>
  <c r="F53" i="22"/>
  <c r="C53" i="22"/>
  <c r="F52" i="22"/>
  <c r="C52" i="22"/>
  <c r="F51" i="22"/>
  <c r="C51" i="22"/>
  <c r="F47" i="22"/>
  <c r="E46" i="22"/>
  <c r="E45" i="22"/>
  <c r="F44" i="22"/>
  <c r="E43" i="22"/>
  <c r="E42" i="22"/>
  <c r="F41" i="22"/>
  <c r="E40" i="22"/>
  <c r="E39" i="22"/>
  <c r="E38" i="22"/>
  <c r="F37" i="22"/>
  <c r="E36" i="22"/>
  <c r="E35" i="22"/>
  <c r="E34" i="22"/>
  <c r="F33" i="22"/>
  <c r="E32" i="22"/>
  <c r="E31" i="22"/>
  <c r="E30" i="22"/>
  <c r="E29" i="22"/>
  <c r="E28" i="22"/>
  <c r="E27" i="22"/>
  <c r="E26" i="22"/>
  <c r="F25" i="22"/>
  <c r="C11" i="27" l="1"/>
  <c r="D14" i="28"/>
  <c r="E14" i="28" s="1"/>
  <c r="F14" i="28" s="1"/>
  <c r="G14" i="28" s="1"/>
  <c r="E9" i="30"/>
  <c r="G9" i="14"/>
  <c r="E10" i="30" s="1"/>
  <c r="H8" i="14"/>
  <c r="H9" i="14" s="1"/>
  <c r="F10" i="30" s="1"/>
  <c r="D9" i="30"/>
  <c r="F9" i="14"/>
  <c r="D10" i="30" s="1"/>
  <c r="D24" i="24"/>
  <c r="E25" i="24"/>
  <c r="F25" i="24" s="1"/>
  <c r="G25" i="24" s="1"/>
  <c r="H25" i="24" s="1"/>
  <c r="E21" i="24"/>
  <c r="F21" i="24" s="1"/>
  <c r="G21" i="24" s="1"/>
  <c r="H21" i="24" s="1"/>
  <c r="E7" i="27"/>
  <c r="D15" i="24" s="1"/>
  <c r="E9" i="27"/>
  <c r="D19" i="24" s="1"/>
  <c r="C12" i="24"/>
  <c r="C20" i="24"/>
  <c r="D20" i="24" s="1"/>
  <c r="E20" i="24" s="1"/>
  <c r="F20" i="24" s="1"/>
  <c r="G20" i="24" s="1"/>
  <c r="H20" i="24" s="1"/>
  <c r="E6" i="27"/>
  <c r="E8" i="27"/>
  <c r="D17" i="24" s="1"/>
  <c r="I19" i="14"/>
  <c r="H19" i="14"/>
  <c r="G19" i="14"/>
  <c r="J19" i="14"/>
  <c r="F19" i="14"/>
  <c r="I16" i="14"/>
  <c r="G16" i="30" s="1"/>
  <c r="G30" i="30" s="1"/>
  <c r="H16" i="14"/>
  <c r="F16" i="30" s="1"/>
  <c r="F30" i="30" s="1"/>
  <c r="G16" i="14"/>
  <c r="E16" i="30" s="1"/>
  <c r="E30" i="30" s="1"/>
  <c r="J16" i="14"/>
  <c r="H16" i="30" s="1"/>
  <c r="H30" i="30" s="1"/>
  <c r="F16" i="14"/>
  <c r="D16" i="30" s="1"/>
  <c r="D30" i="30" s="1"/>
  <c r="I17" i="14"/>
  <c r="G17" i="30" s="1"/>
  <c r="F17" i="14"/>
  <c r="D17" i="30" s="1"/>
  <c r="J17" i="14"/>
  <c r="H17" i="30" s="1"/>
  <c r="G17" i="14"/>
  <c r="E17" i="30" s="1"/>
  <c r="E13" i="28"/>
  <c r="C15" i="28"/>
  <c r="F6" i="14" s="1"/>
  <c r="M13" i="23"/>
  <c r="E25" i="23"/>
  <c r="E24" i="23"/>
  <c r="L9" i="23"/>
  <c r="E26" i="23"/>
  <c r="E15" i="23"/>
  <c r="E16" i="23" s="1"/>
  <c r="H9" i="23"/>
  <c r="H10" i="23"/>
  <c r="J11" i="23"/>
  <c r="L11" i="23" s="1"/>
  <c r="M11" i="23" s="1"/>
  <c r="J12" i="23"/>
  <c r="L12" i="23" s="1"/>
  <c r="M12" i="23" s="1"/>
  <c r="J13" i="23"/>
  <c r="L13" i="23" s="1"/>
  <c r="J14" i="23"/>
  <c r="L14" i="23" s="1"/>
  <c r="M14" i="23" s="1"/>
  <c r="I9" i="23"/>
  <c r="I10" i="23"/>
  <c r="E23" i="23"/>
  <c r="D15" i="28" l="1"/>
  <c r="G6" i="14" s="1"/>
  <c r="F9" i="30"/>
  <c r="I8" i="14"/>
  <c r="D26" i="24"/>
  <c r="E24" i="24"/>
  <c r="D13" i="24"/>
  <c r="E11" i="27"/>
  <c r="C8" i="29" s="1"/>
  <c r="D8" i="29" s="1"/>
  <c r="E15" i="24"/>
  <c r="F15" i="24" s="1"/>
  <c r="G15" i="24" s="1"/>
  <c r="H15" i="24" s="1"/>
  <c r="D12" i="24"/>
  <c r="C22" i="24"/>
  <c r="E17" i="24"/>
  <c r="F17" i="24" s="1"/>
  <c r="G17" i="24" s="1"/>
  <c r="H17" i="24" s="1"/>
  <c r="E19" i="24"/>
  <c r="F19" i="24" s="1"/>
  <c r="G19" i="24" s="1"/>
  <c r="H19" i="24" s="1"/>
  <c r="D19" i="30"/>
  <c r="F18" i="14"/>
  <c r="D18" i="30" s="1"/>
  <c r="G19" i="30"/>
  <c r="I18" i="14"/>
  <c r="G18" i="30" s="1"/>
  <c r="H19" i="30"/>
  <c r="J18" i="14"/>
  <c r="H18" i="30" s="1"/>
  <c r="E19" i="30"/>
  <c r="G18" i="14"/>
  <c r="E18" i="30" s="1"/>
  <c r="F19" i="30"/>
  <c r="H18" i="14"/>
  <c r="F18" i="30" s="1"/>
  <c r="E15" i="28"/>
  <c r="H6" i="14" s="1"/>
  <c r="F13" i="28"/>
  <c r="E7" i="30"/>
  <c r="G10" i="14"/>
  <c r="E11" i="30" s="1"/>
  <c r="J7" i="37"/>
  <c r="D7" i="30"/>
  <c r="F10" i="14"/>
  <c r="M10" i="23"/>
  <c r="E22" i="23"/>
  <c r="G24" i="23"/>
  <c r="F24" i="23"/>
  <c r="I24" i="23"/>
  <c r="F23" i="23"/>
  <c r="I23" i="23"/>
  <c r="G23" i="23"/>
  <c r="H15" i="23"/>
  <c r="H16" i="23" s="1"/>
  <c r="J15" i="23"/>
  <c r="J16" i="23" s="1"/>
  <c r="L15" i="23"/>
  <c r="L16" i="23" s="1"/>
  <c r="E21" i="23"/>
  <c r="I15" i="23"/>
  <c r="I16" i="23" s="1"/>
  <c r="M9" i="23"/>
  <c r="M15" i="23" s="1"/>
  <c r="M16" i="23" s="1"/>
  <c r="F26" i="23"/>
  <c r="I26" i="23"/>
  <c r="G26" i="23"/>
  <c r="G25" i="23"/>
  <c r="F25" i="23"/>
  <c r="I25" i="23"/>
  <c r="J8" i="14" l="1"/>
  <c r="G9" i="30"/>
  <c r="I9" i="14"/>
  <c r="G10" i="30" s="1"/>
  <c r="F24" i="24"/>
  <c r="E26" i="24"/>
  <c r="E12" i="24"/>
  <c r="D22" i="24"/>
  <c r="C34" i="33" s="1"/>
  <c r="E13" i="24"/>
  <c r="F13" i="24" s="1"/>
  <c r="G13" i="24" s="1"/>
  <c r="H13" i="24" s="1"/>
  <c r="I15" i="14"/>
  <c r="G15" i="30" s="1"/>
  <c r="G29" i="30" s="1"/>
  <c r="H15" i="14"/>
  <c r="F15" i="30" s="1"/>
  <c r="F29" i="30" s="1"/>
  <c r="J15" i="14"/>
  <c r="H15" i="30" s="1"/>
  <c r="H29" i="30" s="1"/>
  <c r="G15" i="14"/>
  <c r="E15" i="30" s="1"/>
  <c r="E29" i="30" s="1"/>
  <c r="F15" i="14"/>
  <c r="D15" i="30" s="1"/>
  <c r="D29" i="30" s="1"/>
  <c r="F15" i="28"/>
  <c r="I6" i="14" s="1"/>
  <c r="G13" i="28"/>
  <c r="G15" i="28" s="1"/>
  <c r="J6" i="14" s="1"/>
  <c r="F7" i="30"/>
  <c r="H10" i="14"/>
  <c r="F11" i="30" s="1"/>
  <c r="J41" i="37"/>
  <c r="D11" i="30"/>
  <c r="J25" i="23"/>
  <c r="J26" i="23"/>
  <c r="E27" i="23"/>
  <c r="E28" i="23" s="1"/>
  <c r="G21" i="23"/>
  <c r="F21" i="23"/>
  <c r="I21" i="23"/>
  <c r="J24" i="23"/>
  <c r="J23" i="23"/>
  <c r="I22" i="23"/>
  <c r="G22" i="23"/>
  <c r="F22" i="23"/>
  <c r="H9" i="30" l="1"/>
  <c r="J9" i="14"/>
  <c r="H10" i="30" s="1"/>
  <c r="G24" i="24"/>
  <c r="F26" i="24"/>
  <c r="E22" i="24"/>
  <c r="F12" i="24"/>
  <c r="H7" i="30"/>
  <c r="G7" i="30"/>
  <c r="I10" i="14"/>
  <c r="G11" i="30" s="1"/>
  <c r="F27" i="23"/>
  <c r="F28" i="23" s="1"/>
  <c r="J21" i="23"/>
  <c r="G27" i="23"/>
  <c r="G28" i="23" s="1"/>
  <c r="J22" i="23"/>
  <c r="E34" i="23"/>
  <c r="C7" i="29" s="1"/>
  <c r="D7" i="29" s="1"/>
  <c r="E32" i="23"/>
  <c r="D10" i="18" s="1"/>
  <c r="I27" i="23"/>
  <c r="I28" i="23" s="1"/>
  <c r="J10" i="14" l="1"/>
  <c r="H11" i="30" s="1"/>
  <c r="G26" i="24"/>
  <c r="H24" i="24"/>
  <c r="H26" i="24" s="1"/>
  <c r="F22" i="24"/>
  <c r="G12" i="24"/>
  <c r="G14" i="14"/>
  <c r="E14" i="30" s="1"/>
  <c r="J14" i="14"/>
  <c r="H14" i="30" s="1"/>
  <c r="F14" i="14"/>
  <c r="D14" i="30" s="1"/>
  <c r="H14" i="14"/>
  <c r="F14" i="30" s="1"/>
  <c r="I14" i="14"/>
  <c r="G14" i="30" s="1"/>
  <c r="J27" i="23"/>
  <c r="J28" i="23" s="1"/>
  <c r="E33" i="23"/>
  <c r="H12" i="24" l="1"/>
  <c r="H22" i="24" s="1"/>
  <c r="G22" i="24"/>
  <c r="C6" i="29"/>
  <c r="D6" i="29" s="1"/>
  <c r="D9" i="18"/>
  <c r="D16" i="18" s="1"/>
  <c r="H13" i="14" l="1"/>
  <c r="G13" i="14"/>
  <c r="I13" i="14"/>
  <c r="J13" i="14"/>
  <c r="F13" i="14"/>
  <c r="C9" i="24"/>
  <c r="C10" i="24" s="1"/>
  <c r="C27" i="24" s="1"/>
  <c r="D14" i="17"/>
  <c r="D20" i="17" s="1"/>
  <c r="H12" i="14" l="1"/>
  <c r="F13" i="30"/>
  <c r="C33" i="24"/>
  <c r="C2" i="19"/>
  <c r="C38" i="30"/>
  <c r="C4" i="33" s="1"/>
  <c r="H13" i="30"/>
  <c r="J12" i="14"/>
  <c r="I12" i="14"/>
  <c r="G13" i="30"/>
  <c r="D13" i="30"/>
  <c r="F12" i="14"/>
  <c r="E13" i="30"/>
  <c r="G12" i="14"/>
  <c r="C22" i="33" l="1"/>
  <c r="C23" i="33" s="1"/>
  <c r="C24" i="33" s="1"/>
  <c r="H20" i="14"/>
  <c r="F12" i="30"/>
  <c r="G12" i="30"/>
  <c r="I20" i="14"/>
  <c r="C18" i="19"/>
  <c r="C10" i="19"/>
  <c r="C11" i="19"/>
  <c r="C17" i="19" s="1"/>
  <c r="C6" i="20" s="1"/>
  <c r="G20" i="14"/>
  <c r="E12" i="30"/>
  <c r="D12" i="30"/>
  <c r="F20" i="14"/>
  <c r="H12" i="30"/>
  <c r="J20" i="14"/>
  <c r="C34" i="24"/>
  <c r="D33" i="24"/>
  <c r="E33" i="24" s="1"/>
  <c r="F33" i="24" s="1"/>
  <c r="G33" i="24" s="1"/>
  <c r="H33" i="24" s="1"/>
  <c r="C42" i="24" l="1"/>
  <c r="C16" i="19"/>
  <c r="B10" i="31" s="1"/>
  <c r="C8" i="19"/>
  <c r="C6" i="19"/>
  <c r="C5" i="19"/>
  <c r="C9" i="19"/>
  <c r="C7" i="19"/>
  <c r="D20" i="30"/>
  <c r="J40" i="37"/>
  <c r="K40" i="37" s="1"/>
  <c r="E75" i="20"/>
  <c r="E74" i="20"/>
  <c r="E73" i="20"/>
  <c r="C37" i="24"/>
  <c r="C38" i="24" s="1"/>
  <c r="C39" i="24" s="1"/>
  <c r="E63" i="20"/>
  <c r="E62" i="20"/>
  <c r="E61" i="20"/>
  <c r="E60" i="20"/>
  <c r="E59" i="20"/>
  <c r="E58" i="20"/>
  <c r="E57" i="20"/>
  <c r="E56" i="20"/>
  <c r="E55" i="20"/>
  <c r="E54" i="20"/>
  <c r="E53" i="20"/>
  <c r="E52" i="20"/>
  <c r="E72" i="20"/>
  <c r="F15" i="20"/>
  <c r="E70" i="20"/>
  <c r="E69" i="20"/>
  <c r="E68" i="20"/>
  <c r="E67" i="20"/>
  <c r="E66" i="20"/>
  <c r="E65" i="20"/>
  <c r="E64" i="20"/>
  <c r="E51" i="20"/>
  <c r="E71" i="20"/>
  <c r="E48" i="20"/>
  <c r="E46" i="20"/>
  <c r="E44" i="20"/>
  <c r="E42" i="20"/>
  <c r="E40" i="20"/>
  <c r="E27" i="20"/>
  <c r="E25" i="20"/>
  <c r="E23" i="20"/>
  <c r="E21" i="20"/>
  <c r="E19" i="20"/>
  <c r="E17" i="20"/>
  <c r="E38" i="20"/>
  <c r="E36" i="20"/>
  <c r="E34" i="20"/>
  <c r="E32" i="20"/>
  <c r="E30" i="20"/>
  <c r="E28" i="20"/>
  <c r="E50" i="20"/>
  <c r="E47" i="20"/>
  <c r="E45" i="20"/>
  <c r="E43" i="20"/>
  <c r="E41" i="20"/>
  <c r="E26" i="20"/>
  <c r="E24" i="20"/>
  <c r="E22" i="20"/>
  <c r="E20" i="20"/>
  <c r="E18" i="20"/>
  <c r="E16" i="20"/>
  <c r="E49" i="20"/>
  <c r="E39" i="20"/>
  <c r="E37" i="20"/>
  <c r="E35" i="20"/>
  <c r="E33" i="20"/>
  <c r="E31" i="20"/>
  <c r="E29" i="20"/>
  <c r="H20" i="30"/>
  <c r="F20" i="30"/>
  <c r="E20" i="30"/>
  <c r="G20" i="30"/>
  <c r="C19" i="19" l="1"/>
  <c r="C45" i="24"/>
  <c r="C46" i="24" s="1"/>
  <c r="D42" i="24"/>
  <c r="D16" i="20"/>
  <c r="C40" i="33" l="1"/>
  <c r="C16" i="20"/>
  <c r="E42" i="24"/>
  <c r="F16" i="20" l="1"/>
  <c r="F42" i="24"/>
  <c r="G42" i="24" l="1"/>
  <c r="D17" i="20"/>
  <c r="C17" i="20" l="1"/>
  <c r="H42" i="24"/>
  <c r="F17" i="20" l="1"/>
  <c r="D18" i="20" l="1"/>
  <c r="C18" i="20" l="1"/>
  <c r="F18" i="20" l="1"/>
  <c r="D19" i="20" l="1"/>
  <c r="C19" i="20" l="1"/>
  <c r="F19" i="20" l="1"/>
  <c r="D20" i="20" l="1"/>
  <c r="C20" i="20" s="1"/>
  <c r="F20" i="20" l="1"/>
  <c r="D21" i="20" l="1"/>
  <c r="C21" i="20" s="1"/>
  <c r="F21" i="20" s="1"/>
  <c r="D22" i="20" l="1"/>
  <c r="C22" i="20" s="1"/>
  <c r="F22" i="20" s="1"/>
  <c r="D23" i="20" l="1"/>
  <c r="C23" i="20" s="1"/>
  <c r="F23" i="20" s="1"/>
  <c r="D24" i="20" l="1"/>
  <c r="C24" i="20" s="1"/>
  <c r="F24" i="20" s="1"/>
  <c r="D25" i="20" l="1"/>
  <c r="C25" i="20" s="1"/>
  <c r="F25" i="20" s="1"/>
  <c r="D26" i="20" l="1"/>
  <c r="C26" i="20" s="1"/>
  <c r="F26" i="20" s="1"/>
  <c r="D27" i="20" l="1"/>
  <c r="C27" i="20" l="1"/>
  <c r="H27" i="20"/>
  <c r="D11" i="29" s="1"/>
  <c r="F21" i="14" l="1"/>
  <c r="D13" i="29"/>
  <c r="G27" i="20"/>
  <c r="D33" i="30" s="1"/>
  <c r="F27" i="20"/>
  <c r="D21" i="30" l="1"/>
  <c r="F22" i="14"/>
  <c r="D37" i="24"/>
  <c r="D38" i="24" s="1"/>
  <c r="D28" i="20"/>
  <c r="C28" i="20" l="1"/>
  <c r="C37" i="33"/>
  <c r="F23" i="14"/>
  <c r="D23" i="30" s="1"/>
  <c r="D35" i="30" s="1"/>
  <c r="D22" i="30"/>
  <c r="D32" i="24" l="1"/>
  <c r="E37" i="30"/>
  <c r="F28" i="20"/>
  <c r="F24" i="14"/>
  <c r="D24" i="30" l="1"/>
  <c r="F25" i="14"/>
  <c r="D25" i="30" s="1"/>
  <c r="D34" i="30" s="1"/>
  <c r="D29" i="20"/>
  <c r="D31" i="24" l="1"/>
  <c r="D34" i="24" s="1"/>
  <c r="E36" i="30"/>
  <c r="C29" i="20"/>
  <c r="F26" i="14"/>
  <c r="F27" i="14" l="1"/>
  <c r="F28" i="14" s="1"/>
  <c r="D26" i="30"/>
  <c r="F29" i="20"/>
  <c r="D8" i="37"/>
  <c r="D39" i="24"/>
  <c r="D28" i="30" l="1"/>
  <c r="D43" i="24"/>
  <c r="K34" i="37"/>
  <c r="D30" i="20"/>
  <c r="D29" i="37"/>
  <c r="D27" i="30"/>
  <c r="D32" i="30" s="1"/>
  <c r="D44" i="24"/>
  <c r="D38" i="30" l="1"/>
  <c r="D9" i="24" s="1"/>
  <c r="D10" i="24" s="1"/>
  <c r="C30" i="20"/>
  <c r="D45" i="24"/>
  <c r="D4" i="33" l="1"/>
  <c r="D22" i="33" s="1"/>
  <c r="E35" i="37"/>
  <c r="K35" i="37"/>
  <c r="L34" i="37" s="1"/>
  <c r="D46" i="24"/>
  <c r="F30" i="20"/>
  <c r="C33" i="33"/>
  <c r="C35" i="33" s="1"/>
  <c r="C38" i="33" s="1"/>
  <c r="C42" i="33" s="1"/>
  <c r="D7" i="37"/>
  <c r="E7" i="37" s="1"/>
  <c r="E14" i="37"/>
  <c r="D27" i="24"/>
  <c r="D5" i="33" l="1"/>
  <c r="E34" i="37"/>
  <c r="F34" i="37" s="1"/>
  <c r="J30" i="37"/>
  <c r="D30" i="37"/>
  <c r="E29" i="37" s="1"/>
  <c r="D31" i="20"/>
  <c r="D23" i="33" l="1"/>
  <c r="C31" i="20"/>
  <c r="D24" i="33" l="1"/>
  <c r="F31" i="20"/>
  <c r="D32" i="20" l="1"/>
  <c r="C32" i="20" l="1"/>
  <c r="F32" i="20" l="1"/>
  <c r="D33" i="20" l="1"/>
  <c r="C33" i="20" s="1"/>
  <c r="F33" i="20" s="1"/>
  <c r="D34" i="20" l="1"/>
  <c r="C34" i="20" s="1"/>
  <c r="F34" i="20" s="1"/>
  <c r="D35" i="20" l="1"/>
  <c r="C35" i="20" s="1"/>
  <c r="F35" i="20" s="1"/>
  <c r="D36" i="20" l="1"/>
  <c r="C36" i="20" s="1"/>
  <c r="F36" i="20" s="1"/>
  <c r="D37" i="20" l="1"/>
  <c r="C37" i="20" s="1"/>
  <c r="F37" i="20" s="1"/>
  <c r="D38" i="20" l="1"/>
  <c r="C38" i="20" s="1"/>
  <c r="F38" i="20" s="1"/>
  <c r="D39" i="20" l="1"/>
  <c r="C39" i="20" l="1"/>
  <c r="H39" i="20"/>
  <c r="G21" i="14" s="1"/>
  <c r="E21" i="30" l="1"/>
  <c r="G22" i="14"/>
  <c r="G39" i="20"/>
  <c r="E33" i="30" s="1"/>
  <c r="F39" i="20"/>
  <c r="E37" i="24" l="1"/>
  <c r="E38" i="24" s="1"/>
  <c r="D40" i="20"/>
  <c r="E22" i="30"/>
  <c r="G23" i="14"/>
  <c r="E23" i="30" s="1"/>
  <c r="E35" i="30" s="1"/>
  <c r="C40" i="20" l="1"/>
  <c r="F37" i="30"/>
  <c r="E32" i="24"/>
  <c r="G24" i="14"/>
  <c r="F40" i="20" l="1"/>
  <c r="G25" i="14"/>
  <c r="E25" i="30" s="1"/>
  <c r="E34" i="30" s="1"/>
  <c r="E24" i="30"/>
  <c r="E31" i="24" l="1"/>
  <c r="E34" i="24" s="1"/>
  <c r="E39" i="24" s="1"/>
  <c r="F36" i="30"/>
  <c r="D41" i="20"/>
  <c r="G26" i="14"/>
  <c r="E26" i="30" l="1"/>
  <c r="G27" i="14"/>
  <c r="C41" i="20"/>
  <c r="E44" i="24" l="1"/>
  <c r="E27" i="30"/>
  <c r="E32" i="30" s="1"/>
  <c r="F41" i="20"/>
  <c r="G28" i="14"/>
  <c r="D42" i="20" l="1"/>
  <c r="J29" i="37"/>
  <c r="K29" i="37" s="1"/>
  <c r="E28" i="30"/>
  <c r="E38" i="30" s="1"/>
  <c r="E43" i="24"/>
  <c r="E45" i="24" s="1"/>
  <c r="E46" i="24" s="1"/>
  <c r="E4" i="33" l="1"/>
  <c r="E9" i="24"/>
  <c r="E10" i="24" s="1"/>
  <c r="E27" i="24" s="1"/>
  <c r="J8" i="37" s="1"/>
  <c r="K7" i="37" s="1"/>
  <c r="C42" i="20"/>
  <c r="F42" i="20" l="1"/>
  <c r="E22" i="33"/>
  <c r="E5" i="33"/>
  <c r="E23" i="33" l="1"/>
  <c r="D43" i="20"/>
  <c r="E24" i="33" l="1"/>
  <c r="C43" i="20"/>
  <c r="F43" i="20" l="1"/>
  <c r="D44" i="20" l="1"/>
  <c r="C44" i="20" l="1"/>
  <c r="F44" i="20" l="1"/>
  <c r="D45" i="20" l="1"/>
  <c r="C45" i="20" s="1"/>
  <c r="F45" i="20" s="1"/>
  <c r="D46" i="20" l="1"/>
  <c r="C46" i="20" s="1"/>
  <c r="F46" i="20" s="1"/>
  <c r="D47" i="20" l="1"/>
  <c r="C47" i="20" s="1"/>
  <c r="F47" i="20" s="1"/>
  <c r="D48" i="20" l="1"/>
  <c r="C48" i="20" s="1"/>
  <c r="F48" i="20" s="1"/>
  <c r="D49" i="20" l="1"/>
  <c r="C49" i="20" s="1"/>
  <c r="F49" i="20" s="1"/>
  <c r="D50" i="20" l="1"/>
  <c r="C50" i="20" s="1"/>
  <c r="F50" i="20" s="1"/>
  <c r="D51" i="20" l="1"/>
  <c r="C51" i="20" l="1"/>
  <c r="H51" i="20"/>
  <c r="H21" i="14" s="1"/>
  <c r="G51" i="20" l="1"/>
  <c r="F33" i="30" s="1"/>
  <c r="F51" i="20"/>
  <c r="F21" i="30"/>
  <c r="H22" i="14"/>
  <c r="F22" i="30" l="1"/>
  <c r="H23" i="14"/>
  <c r="F23" i="30" s="1"/>
  <c r="F35" i="30" s="1"/>
  <c r="F37" i="24"/>
  <c r="F38" i="24" s="1"/>
  <c r="D52" i="20"/>
  <c r="C52" i="20" l="1"/>
  <c r="G37" i="30"/>
  <c r="F32" i="24"/>
  <c r="H24" i="14"/>
  <c r="H25" i="14" l="1"/>
  <c r="F25" i="30" s="1"/>
  <c r="F34" i="30" s="1"/>
  <c r="F24" i="30"/>
  <c r="F52" i="20"/>
  <c r="G36" i="30" l="1"/>
  <c r="F31" i="24"/>
  <c r="F34" i="24" s="1"/>
  <c r="F39" i="24" s="1"/>
  <c r="D53" i="20"/>
  <c r="H26" i="14"/>
  <c r="C53" i="20" l="1"/>
  <c r="F26" i="30"/>
  <c r="H27" i="14"/>
  <c r="F44" i="24" l="1"/>
  <c r="F27" i="30"/>
  <c r="F32" i="30" s="1"/>
  <c r="H28" i="14"/>
  <c r="F53" i="20"/>
  <c r="D54" i="20" l="1"/>
  <c r="F43" i="24"/>
  <c r="F45" i="24" s="1"/>
  <c r="F46" i="24" s="1"/>
  <c r="F28" i="30"/>
  <c r="F38" i="30" s="1"/>
  <c r="F4" i="33" l="1"/>
  <c r="F9" i="24"/>
  <c r="F10" i="24" s="1"/>
  <c r="F27" i="24" s="1"/>
  <c r="C54" i="20"/>
  <c r="F54" i="20" l="1"/>
  <c r="F22" i="33"/>
  <c r="F5" i="33"/>
  <c r="F23" i="33" l="1"/>
  <c r="I26" i="33" s="1"/>
  <c r="I27" i="33" s="1"/>
  <c r="D55" i="20"/>
  <c r="F24" i="33" l="1"/>
  <c r="C55" i="20"/>
  <c r="F55" i="20" l="1"/>
  <c r="D56" i="20" l="1"/>
  <c r="C56" i="20" l="1"/>
  <c r="F56" i="20" l="1"/>
  <c r="D57" i="20" l="1"/>
  <c r="C57" i="20" s="1"/>
  <c r="F57" i="20" s="1"/>
  <c r="D58" i="20" l="1"/>
  <c r="C58" i="20" s="1"/>
  <c r="F58" i="20" s="1"/>
  <c r="D59" i="20" l="1"/>
  <c r="C59" i="20" s="1"/>
  <c r="F59" i="20" s="1"/>
  <c r="D60" i="20" l="1"/>
  <c r="C60" i="20" s="1"/>
  <c r="F60" i="20" s="1"/>
  <c r="D61" i="20" l="1"/>
  <c r="C61" i="20" s="1"/>
  <c r="F61" i="20" s="1"/>
  <c r="D62" i="20" l="1"/>
  <c r="C62" i="20" s="1"/>
  <c r="F62" i="20" s="1"/>
  <c r="D63" i="20" l="1"/>
  <c r="C63" i="20" l="1"/>
  <c r="H63" i="20"/>
  <c r="I21" i="14" s="1"/>
  <c r="G21" i="30" l="1"/>
  <c r="I22" i="14"/>
  <c r="G63" i="20"/>
  <c r="G33" i="30" s="1"/>
  <c r="F63" i="20"/>
  <c r="G37" i="24" l="1"/>
  <c r="G38" i="24" s="1"/>
  <c r="D64" i="20"/>
  <c r="I23" i="14"/>
  <c r="G23" i="30" s="1"/>
  <c r="G35" i="30" s="1"/>
  <c r="G22" i="30"/>
  <c r="I24" i="14" l="1"/>
  <c r="I25" i="14" s="1"/>
  <c r="G25" i="30" s="1"/>
  <c r="G34" i="30" s="1"/>
  <c r="G32" i="24"/>
  <c r="H37" i="30"/>
  <c r="C64" i="20"/>
  <c r="G24" i="30" l="1"/>
  <c r="F64" i="20"/>
  <c r="H36" i="30"/>
  <c r="G31" i="24"/>
  <c r="G34" i="24" s="1"/>
  <c r="G39" i="24" s="1"/>
  <c r="I26" i="14"/>
  <c r="D65" i="20" l="1"/>
  <c r="I27" i="14"/>
  <c r="I28" i="14" s="1"/>
  <c r="G26" i="30"/>
  <c r="G27" i="30" l="1"/>
  <c r="G32" i="30" s="1"/>
  <c r="G44" i="24"/>
  <c r="C65" i="20"/>
  <c r="G43" i="24"/>
  <c r="G28" i="30"/>
  <c r="G38" i="30" s="1"/>
  <c r="G45" i="24" l="1"/>
  <c r="G46" i="24" s="1"/>
  <c r="F65" i="20"/>
  <c r="G9" i="24"/>
  <c r="G10" i="24" s="1"/>
  <c r="G27" i="24" s="1"/>
  <c r="G4" i="33"/>
  <c r="G22" i="33" l="1"/>
  <c r="G5" i="33"/>
  <c r="D66" i="20"/>
  <c r="G23" i="33" l="1"/>
  <c r="C66" i="20"/>
  <c r="G24" i="33" l="1"/>
  <c r="J26" i="33"/>
  <c r="I28" i="33" s="1"/>
  <c r="F66" i="20"/>
  <c r="D67" i="20" l="1"/>
  <c r="C67" i="20" l="1"/>
  <c r="F67" i="20" l="1"/>
  <c r="D68" i="20" l="1"/>
  <c r="C68" i="20" l="1"/>
  <c r="F68" i="20" l="1"/>
  <c r="D69" i="20" l="1"/>
  <c r="C69" i="20" s="1"/>
  <c r="F69" i="20" s="1"/>
  <c r="D70" i="20" l="1"/>
  <c r="C70" i="20" s="1"/>
  <c r="F70" i="20" s="1"/>
  <c r="D71" i="20" l="1"/>
  <c r="C71" i="20" s="1"/>
  <c r="F71" i="20" s="1"/>
  <c r="D72" i="20" l="1"/>
  <c r="C72" i="20" s="1"/>
  <c r="F72" i="20" s="1"/>
  <c r="D73" i="20" l="1"/>
  <c r="C73" i="20" s="1"/>
  <c r="F73" i="20" s="1"/>
  <c r="D74" i="20" l="1"/>
  <c r="C74" i="20" s="1"/>
  <c r="F74" i="20" s="1"/>
  <c r="D75" i="20" l="1"/>
  <c r="C75" i="20" l="1"/>
  <c r="H75" i="20"/>
  <c r="J21" i="14" s="1"/>
  <c r="G75" i="20" l="1"/>
  <c r="H33" i="30" s="1"/>
  <c r="F75" i="20"/>
  <c r="H37" i="24" s="1"/>
  <c r="H38" i="24" s="1"/>
  <c r="H21" i="30"/>
  <c r="J22" i="14"/>
  <c r="J23" i="14" l="1"/>
  <c r="H23" i="30" s="1"/>
  <c r="H35" i="30" s="1"/>
  <c r="H32" i="24" s="1"/>
  <c r="H22" i="30"/>
  <c r="J24" i="14" l="1"/>
  <c r="H24" i="30" l="1"/>
  <c r="J25" i="14"/>
  <c r="H25" i="30" s="1"/>
  <c r="H34" i="30" s="1"/>
  <c r="H31" i="24" s="1"/>
  <c r="H34" i="24" s="1"/>
  <c r="H39" i="24" s="1"/>
  <c r="J26" i="14" l="1"/>
  <c r="J27" i="14" s="1"/>
  <c r="J28" i="14" s="1"/>
  <c r="H26" i="30" l="1"/>
  <c r="H28" i="30"/>
  <c r="H43" i="24"/>
  <c r="H27" i="30"/>
  <c r="H32" i="30" s="1"/>
  <c r="H44" i="24"/>
  <c r="H45" i="24" l="1"/>
  <c r="H46" i="24" s="1"/>
  <c r="H38" i="30"/>
  <c r="H9" i="24" s="1"/>
  <c r="H10" i="24" s="1"/>
  <c r="H27" i="24" s="1"/>
  <c r="H4" i="33" l="1"/>
  <c r="H22" i="33" s="1"/>
  <c r="B14" i="33"/>
  <c r="H5" i="33" l="1"/>
  <c r="H23" i="33" l="1"/>
  <c r="H24" i="33" s="1"/>
  <c r="B8" i="33"/>
  <c r="B17" i="33" s="1"/>
  <c r="B18" i="33" s="1"/>
  <c r="B11" i="33" l="1"/>
  <c r="C11" i="33" s="1"/>
  <c r="C26" i="33" s="1"/>
  <c r="F31" i="33" l="1"/>
  <c r="G26" i="33"/>
  <c r="C27" i="33" s="1"/>
  <c r="G27" i="33" l="1"/>
  <c r="C28" i="33" s="1"/>
  <c r="G28" i="33" s="1"/>
  <c r="C30" i="33" s="1"/>
</calcChain>
</file>

<file path=xl/comments1.xml><?xml version="1.0" encoding="utf-8"?>
<comments xmlns="http://schemas.openxmlformats.org/spreadsheetml/2006/main">
  <authors>
    <author>PC</author>
    <author>U S U A R  I O</author>
  </authors>
  <commentList>
    <comment ref="G5" authorId="0">
      <text>
        <r>
          <rPr>
            <b/>
            <sz val="9"/>
            <color indexed="81"/>
            <rFont val="Tahoma"/>
            <family val="2"/>
          </rPr>
          <t xml:space="preserve">BANCO CENTRAL DEL ECUDOR 
SEGMENTO DE ALIMENTOS Y BEBIDAS NO ALCOHÓLICAS
</t>
        </r>
      </text>
    </comment>
    <comment ref="G6" authorId="0">
      <text>
        <r>
          <rPr>
            <sz val="9"/>
            <color indexed="81"/>
            <rFont val="Tahoma"/>
            <family val="2"/>
          </rPr>
          <t xml:space="preserve">FUENTE BANCO CENTRAL DEL ECUADOR 2016 
</t>
        </r>
      </text>
    </comment>
    <comment ref="G7" authorId="0">
      <text>
        <r>
          <rPr>
            <sz val="9"/>
            <color indexed="81"/>
            <rFont val="Tahoma"/>
            <family val="2"/>
          </rPr>
          <t xml:space="preserve">FUENTE TASA DEL TESORO DE ESTADOS UNIDOS DE AMÉRICA
http://indicadoreseconomicos.bccr.fi.cr/indicadoreseconomicos/Cuadros/frmVerCatCuadro.aspx?idioma=1&amp;CodCuadro=%20677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 xml:space="preserve">Betas by Sector (US)
Beverage (Soft)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 xml:space="preserve">FUENTE SRI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FUENTE BANCO CENTRAL DEL ECUADOR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1">
      <text>
        <r>
          <rPr>
            <b/>
            <sz val="9"/>
            <color indexed="81"/>
            <rFont val="Tahoma"/>
            <family val="2"/>
          </rPr>
          <t>Fuente: Bolsa de Valores de Guayaquil</t>
        </r>
      </text>
    </comment>
  </commentList>
</comments>
</file>

<file path=xl/comments2.xml><?xml version="1.0" encoding="utf-8"?>
<comments xmlns="http://schemas.openxmlformats.org/spreadsheetml/2006/main">
  <authors>
    <author>U S U A R  I O</author>
  </authors>
  <commentList>
    <comment ref="C42" authorId="0">
      <text>
        <r>
          <rPr>
            <b/>
            <sz val="9"/>
            <color indexed="81"/>
            <rFont val="Tahoma"/>
            <family val="2"/>
          </rPr>
          <t>U S U A R  I O:</t>
        </r>
        <r>
          <rPr>
            <sz val="9"/>
            <color indexed="81"/>
            <rFont val="Tahoma"/>
            <family val="2"/>
          </rPr>
          <t xml:space="preserve">
VALOR NEGATIVO DEBIDO A QUE NO SE RECUPERA LA INVERSION EN EL PRIMER AÑO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U S U A R  I O:</t>
        </r>
        <r>
          <rPr>
            <sz val="9"/>
            <color indexed="81"/>
            <rFont val="Tahoma"/>
            <family val="2"/>
          </rPr>
          <t xml:space="preserve">
VALOR NEGATIVO DEBIDO A QUE NO SE RECUPERA LA INVERSION EN EL PRIMER AÑO</t>
        </r>
      </text>
    </comment>
  </commentList>
</comments>
</file>

<file path=xl/sharedStrings.xml><?xml version="1.0" encoding="utf-8"?>
<sst xmlns="http://schemas.openxmlformats.org/spreadsheetml/2006/main" count="431" uniqueCount="358">
  <si>
    <t>GASTO DEPRECIACIÓN</t>
  </si>
  <si>
    <t>GASTO AMORTIZACIÓN</t>
  </si>
  <si>
    <t>GASTO PUBLICIDAD</t>
  </si>
  <si>
    <t xml:space="preserve">GASTOS FINANCIEROS </t>
  </si>
  <si>
    <t>GASTO SERVICIOS BASICOS</t>
  </si>
  <si>
    <t>EGRESOS</t>
  </si>
  <si>
    <t xml:space="preserve">TOTAL INVERSIÓN </t>
  </si>
  <si>
    <t>CAPITAL DE TRABAJO</t>
  </si>
  <si>
    <t>GASTO DE CONSTITUCIÓN</t>
  </si>
  <si>
    <t>MATRIZ DE INVERSIÓN</t>
  </si>
  <si>
    <t>MATRIZ DE CAPITAL DE TRABAJO</t>
  </si>
  <si>
    <t>TOTAL</t>
  </si>
  <si>
    <t>RECURSO PROPIO</t>
  </si>
  <si>
    <t>VALOR</t>
  </si>
  <si>
    <t>MATRIZ DE FINANCIAMIENTO</t>
  </si>
  <si>
    <t xml:space="preserve">SALDO </t>
  </si>
  <si>
    <t>INTERES</t>
  </si>
  <si>
    <t>N</t>
  </si>
  <si>
    <t xml:space="preserve">TABLA DE AMORTIZACIÓN </t>
  </si>
  <si>
    <t>PRECIO</t>
  </si>
  <si>
    <t>PRECIO UNITARIO</t>
  </si>
  <si>
    <t>TOTAL COSTOS FIJOS</t>
  </si>
  <si>
    <t>Teléfono</t>
  </si>
  <si>
    <t>Luz</t>
  </si>
  <si>
    <t>Agua</t>
  </si>
  <si>
    <t>Arriendos</t>
  </si>
  <si>
    <t>Total</t>
  </si>
  <si>
    <t>Valor mensual</t>
  </si>
  <si>
    <t>Descripción</t>
  </si>
  <si>
    <t>COSTOS VARIABLES</t>
  </si>
  <si>
    <t>COSTOS FIJOS</t>
  </si>
  <si>
    <t>COSTOS</t>
  </si>
  <si>
    <t>TOTAL  SUELDOS Y SALARIOS</t>
  </si>
  <si>
    <t>Contador</t>
  </si>
  <si>
    <t>Gerente</t>
  </si>
  <si>
    <t>SUELDO</t>
  </si>
  <si>
    <t xml:space="preserve">CARGO </t>
  </si>
  <si>
    <t>Num_empleados</t>
  </si>
  <si>
    <t>RECURSO HUMANO</t>
  </si>
  <si>
    <t>TOTAL MATERIA PRIMA</t>
  </si>
  <si>
    <t>TOTAL ACTIVOS FIJOS</t>
  </si>
  <si>
    <t>Computadoras</t>
  </si>
  <si>
    <t>Sillas</t>
  </si>
  <si>
    <t>Escritorios</t>
  </si>
  <si>
    <t>Valor Unitario</t>
  </si>
  <si>
    <t>Cantidad</t>
  </si>
  <si>
    <t>ACTIVOS FIJOS</t>
  </si>
  <si>
    <t>Participación Trabajadores</t>
  </si>
  <si>
    <t>RESERVA LEGAL</t>
  </si>
  <si>
    <t xml:space="preserve">APORTE PERSONAL </t>
  </si>
  <si>
    <t>FONDO DE RESERVA</t>
  </si>
  <si>
    <t xml:space="preserve">DATOS </t>
  </si>
  <si>
    <t>PIB (G)</t>
  </si>
  <si>
    <t xml:space="preserve">Tanque de Mezcla </t>
  </si>
  <si>
    <t>Filtro</t>
  </si>
  <si>
    <t>Sistema de Enfriamiento</t>
  </si>
  <si>
    <t>Envasadora</t>
  </si>
  <si>
    <t xml:space="preserve">Etiquetadora </t>
  </si>
  <si>
    <t>Bomba de suministros de Agua</t>
  </si>
  <si>
    <t>Camión</t>
  </si>
  <si>
    <t xml:space="preserve">Impresoras </t>
  </si>
  <si>
    <t xml:space="preserve">Materia prima </t>
  </si>
  <si>
    <t xml:space="preserve">Agua potable </t>
  </si>
  <si>
    <t>Energía eléctrica</t>
  </si>
  <si>
    <t>Telefonía Convencional</t>
  </si>
  <si>
    <t>Internet</t>
  </si>
  <si>
    <t>Jefe de Producción</t>
  </si>
  <si>
    <t>Jefe de bodega</t>
  </si>
  <si>
    <t>Operadores</t>
  </si>
  <si>
    <t xml:space="preserve">ACTIVOS INTAGIBLES </t>
  </si>
  <si>
    <t xml:space="preserve">GASTOS DE CONSTITUCIÓN </t>
  </si>
  <si>
    <t xml:space="preserve">MATERIA PRIMA </t>
  </si>
  <si>
    <t xml:space="preserve">Suministros de oficina </t>
  </si>
  <si>
    <t>TOTAL COSTOS ANUALES</t>
  </si>
  <si>
    <t xml:space="preserve">Agua </t>
  </si>
  <si>
    <t>Envases plásticos</t>
  </si>
  <si>
    <t>Tapas plasticas</t>
  </si>
  <si>
    <t>Escencia de Valeriana</t>
  </si>
  <si>
    <t xml:space="preserve">COSTO UNITARIO </t>
  </si>
  <si>
    <t>CANTIDAD</t>
  </si>
  <si>
    <t xml:space="preserve">Tasa de impuesto a la renta </t>
  </si>
  <si>
    <t xml:space="preserve">Endulzante Natural </t>
  </si>
  <si>
    <t>DETALLE</t>
  </si>
  <si>
    <t>% DE DERPECIACIÓN</t>
  </si>
  <si>
    <t>VALOR DE LA DEPRECIACIÓN ANUAL</t>
  </si>
  <si>
    <t>Impresoras</t>
  </si>
  <si>
    <t>TOTAL  DE DEPRECIACIÓN ANUAL</t>
  </si>
  <si>
    <t xml:space="preserve">Metro cúbico industrial (1000 Lt) </t>
  </si>
  <si>
    <t>ROL DE PAGOS Y CUADRO DE BENEFICIOS SOCIALES</t>
  </si>
  <si>
    <t>ROL DE PAGOS (MENSUAL)</t>
  </si>
  <si>
    <t>Nº</t>
  </si>
  <si>
    <t>Num_trabaj.</t>
  </si>
  <si>
    <t>CARGO</t>
  </si>
  <si>
    <t>TOTAL SUELDOS</t>
  </si>
  <si>
    <t>COMISIONES</t>
  </si>
  <si>
    <t>HORAS EXTRAS</t>
  </si>
  <si>
    <t>FONDOS DE RESERVA</t>
  </si>
  <si>
    <t>TOTAL INGRESOS</t>
  </si>
  <si>
    <t>APORTE PERSONAL</t>
  </si>
  <si>
    <t>OTROS DESCUENTOS</t>
  </si>
  <si>
    <t>TOTAL EGRESOS</t>
  </si>
  <si>
    <t>LÍQUIDO A RECIBIR</t>
  </si>
  <si>
    <t>TOTAL ROL ANUAL</t>
  </si>
  <si>
    <t>PROVISIONES BENEFICIOS SOCIALES (MENSUAL)</t>
  </si>
  <si>
    <t>APORTE PATRONAL</t>
  </si>
  <si>
    <t>DECIMO TERCERO</t>
  </si>
  <si>
    <t>DÉCIMO CUARTO</t>
  </si>
  <si>
    <t>VACACIONES</t>
  </si>
  <si>
    <t xml:space="preserve">TOTAL PROVICIONES </t>
  </si>
  <si>
    <t>TENATU</t>
  </si>
  <si>
    <t xml:space="preserve">Materia Prima </t>
  </si>
  <si>
    <t xml:space="preserve">Tasa libre de riesgo </t>
  </si>
  <si>
    <t xml:space="preserve">Rm </t>
  </si>
  <si>
    <t>ESTADO DE RESULTADOS</t>
  </si>
  <si>
    <t>DEL 01 DE ENERO AL 31 DE DICIEMBRE DEL 2017</t>
  </si>
  <si>
    <t xml:space="preserve">VENTAS </t>
  </si>
  <si>
    <t>(-)</t>
  </si>
  <si>
    <t xml:space="preserve">COSTO DE VENTAS </t>
  </si>
  <si>
    <t>(=)</t>
  </si>
  <si>
    <t>UTILIDAD BRUTA</t>
  </si>
  <si>
    <t>GASTOS OPERATIVOS</t>
  </si>
  <si>
    <t>GASTOS NO OPERACIONALES</t>
  </si>
  <si>
    <t>UTILIDAD DEL EJERCICIO ANTES DE IMPUESTOS</t>
  </si>
  <si>
    <t xml:space="preserve"> UTILIDAD ANTES DE PART. TRABAJADORES</t>
  </si>
  <si>
    <t>PARTICIPACIÓN TRABAJADORES</t>
  </si>
  <si>
    <t>UTILIDAD ANTES DE RESERVAS</t>
  </si>
  <si>
    <t>UTILIDAD DEL EJERCICIO</t>
  </si>
  <si>
    <t>BALANCE GENERAL</t>
  </si>
  <si>
    <t>ACTIVO</t>
  </si>
  <si>
    <t>PASIVO</t>
  </si>
  <si>
    <t>ACTIVO CORRIENTE</t>
  </si>
  <si>
    <t xml:space="preserve">Efectivo y equivalentes del efectivo </t>
  </si>
  <si>
    <t>TOTAL ACTIVO CORRIENTE</t>
  </si>
  <si>
    <t>PASIVO NO CORRIENTE</t>
  </si>
  <si>
    <t>ACTIVO NO CORRIENTE</t>
  </si>
  <si>
    <t>Préstamo por pagar a largo plazo</t>
  </si>
  <si>
    <t>Muebles y Enseres</t>
  </si>
  <si>
    <t>TOTAL PASIVO NO CORRIENTE</t>
  </si>
  <si>
    <t xml:space="preserve">(-) Deprec. Acum.  Muebles y Enseres </t>
  </si>
  <si>
    <t>Euipo de computo</t>
  </si>
  <si>
    <t>PATRIMONIO</t>
  </si>
  <si>
    <t>(-) Deprec. Acum.  Equipos de computo</t>
  </si>
  <si>
    <t>CAPITAL</t>
  </si>
  <si>
    <t>TOTAL ACTIVO NO CORRIENTE</t>
  </si>
  <si>
    <t>Capital social</t>
  </si>
  <si>
    <t>ACTIVO INTANGIBLE</t>
  </si>
  <si>
    <t>TOTAL PATRIMONIO</t>
  </si>
  <si>
    <t>Gastos de constitución</t>
  </si>
  <si>
    <t>TOTAL ACTIVO INTANGIBLE</t>
  </si>
  <si>
    <t>TOTAL ACTIVOS</t>
  </si>
  <si>
    <t>Etiqueta</t>
  </si>
  <si>
    <t xml:space="preserve">PRECIO </t>
  </si>
  <si>
    <t xml:space="preserve">VIDA DE UTIL ACTIVOS INTAGIBLES </t>
  </si>
  <si>
    <t>ACTIVOS INGTANGIBLES</t>
  </si>
  <si>
    <t>ACTIVOS INTANGIBLES</t>
  </si>
  <si>
    <t>TIEMPO DE AMORT.</t>
  </si>
  <si>
    <t>AMORTIZACIÓN ANUAL</t>
  </si>
  <si>
    <t xml:space="preserve">AÑOS </t>
  </si>
  <si>
    <t xml:space="preserve">CANTIDAD APROXIMADA A PRODUCIR </t>
  </si>
  <si>
    <t xml:space="preserve">TOTAL </t>
  </si>
  <si>
    <t xml:space="preserve">Total anual </t>
  </si>
  <si>
    <t>PRECIO DE VENTA</t>
  </si>
  <si>
    <t>T. COST. VARI.</t>
  </si>
  <si>
    <t xml:space="preserve">ACTIVOS FIJOS </t>
  </si>
  <si>
    <t>DEPRECIABLE</t>
  </si>
  <si>
    <t xml:space="preserve">MAQUINARIA </t>
  </si>
  <si>
    <t xml:space="preserve">VEHICULO </t>
  </si>
  <si>
    <t xml:space="preserve">EQUIPO DE COMPUTO </t>
  </si>
  <si>
    <t xml:space="preserve">EQUIPO DE OFICINA </t>
  </si>
  <si>
    <t xml:space="preserve">DEPRECIACIONES ACTIVOS FIJOS </t>
  </si>
  <si>
    <t xml:space="preserve">VALOR </t>
  </si>
  <si>
    <t xml:space="preserve">SOCIOS </t>
  </si>
  <si>
    <t>SOCIO A</t>
  </si>
  <si>
    <t>SOCIO B</t>
  </si>
  <si>
    <t>SOCIO C</t>
  </si>
  <si>
    <t>SOCIO D</t>
  </si>
  <si>
    <t>SOCIO E</t>
  </si>
  <si>
    <t xml:space="preserve">APORTES </t>
  </si>
  <si>
    <t xml:space="preserve">RECURSO PROPIO </t>
  </si>
  <si>
    <t>PAGO</t>
  </si>
  <si>
    <t>CUOTA FIJA</t>
  </si>
  <si>
    <t>AÑOS</t>
  </si>
  <si>
    <t>MESES</t>
  </si>
  <si>
    <t>Tasa anual  (i)</t>
  </si>
  <si>
    <t>Tasa mensual   (i)</t>
  </si>
  <si>
    <t xml:space="preserve">FINANCIAMIENTO </t>
  </si>
  <si>
    <t xml:space="preserve">MÉTODO </t>
  </si>
  <si>
    <t xml:space="preserve">TIEMPO </t>
  </si>
  <si>
    <t xml:space="preserve">BCE Tasa Activa Referencial </t>
  </si>
  <si>
    <t>n</t>
  </si>
  <si>
    <t>CAPITAL ANUAL</t>
  </si>
  <si>
    <t>INTERES ANUAL</t>
  </si>
  <si>
    <t xml:space="preserve">MATRIZ INGRESOS </t>
  </si>
  <si>
    <t>INFLACIÓN</t>
  </si>
  <si>
    <t>PLAN INGRESOS</t>
  </si>
  <si>
    <t>AÑO</t>
  </si>
  <si>
    <t>COSTO DE VENTAS</t>
  </si>
  <si>
    <t xml:space="preserve">MATRIZ DE EGRESO </t>
  </si>
  <si>
    <t>GASTO SUELDOS Y SALARIOS</t>
  </si>
  <si>
    <t>GASTO PROV. BEN. SOCI</t>
  </si>
  <si>
    <t xml:space="preserve">MENSUAL </t>
  </si>
  <si>
    <t xml:space="preserve">ANUAL </t>
  </si>
  <si>
    <t>TOTAL DEPRECIACIÓN</t>
  </si>
  <si>
    <t xml:space="preserve">Publicidad </t>
  </si>
  <si>
    <t>(-) Amortización acum. Gastos de const.</t>
  </si>
  <si>
    <t xml:space="preserve">Equipo de oficina </t>
  </si>
  <si>
    <t>(-) Deprec. Acum. Equip. De Ofic.</t>
  </si>
  <si>
    <t>MUBLES Y ENSERES</t>
  </si>
  <si>
    <t xml:space="preserve">Maquinaria </t>
  </si>
  <si>
    <t>(-) Deprec. Acum.  Maquinaria</t>
  </si>
  <si>
    <t xml:space="preserve">Vehiculo </t>
  </si>
  <si>
    <t>EMPRESA TENATU</t>
  </si>
  <si>
    <t xml:space="preserve">GASTOS SUELDOS Y SALARIOS </t>
  </si>
  <si>
    <t>FLUJO NETO DEL EFECTIVO</t>
  </si>
  <si>
    <t>Rubros</t>
  </si>
  <si>
    <t xml:space="preserve">COSTO VARIABLE </t>
  </si>
  <si>
    <t xml:space="preserve">COSTO FIJO </t>
  </si>
  <si>
    <t>(+)</t>
  </si>
  <si>
    <t>Venta de Activos</t>
  </si>
  <si>
    <t>capital Financiero</t>
  </si>
  <si>
    <t>FNE</t>
  </si>
  <si>
    <t>FNED</t>
  </si>
  <si>
    <t>CAMP</t>
  </si>
  <si>
    <t>WACC</t>
  </si>
  <si>
    <t>TC</t>
  </si>
  <si>
    <t>VA</t>
  </si>
  <si>
    <t>VAN</t>
  </si>
  <si>
    <t>TIR</t>
  </si>
  <si>
    <t>Rc/b</t>
  </si>
  <si>
    <t>PAY BAC</t>
  </si>
  <si>
    <t xml:space="preserve">Coeficiente Beta </t>
  </si>
  <si>
    <t>FINANCIAMIENTO</t>
  </si>
  <si>
    <t>PAY BACK</t>
  </si>
  <si>
    <t>FNEDACUMULADO</t>
  </si>
  <si>
    <t>INDICADORES DE LIQUIDEZ</t>
  </si>
  <si>
    <t>Pasivo Corriente</t>
  </si>
  <si>
    <t xml:space="preserve">ACTIVO INTANGIBLE </t>
  </si>
  <si>
    <t xml:space="preserve">DEPRECIACIÓN ACTIVOS </t>
  </si>
  <si>
    <t xml:space="preserve">TOTAL CAPITAL TRABAJO </t>
  </si>
  <si>
    <t>Esencia de Valeriana</t>
  </si>
  <si>
    <t>Endulzante Natural</t>
  </si>
  <si>
    <t>AÑO 1</t>
  </si>
  <si>
    <t>AÑO 2</t>
  </si>
  <si>
    <t>AÑO 3</t>
  </si>
  <si>
    <t>AÑO 4</t>
  </si>
  <si>
    <t>AÑO 5</t>
  </si>
  <si>
    <t>MAQUINARIA</t>
  </si>
  <si>
    <t>MUEBLES Y ENSERES</t>
  </si>
  <si>
    <t>EQUIPOS DE COMPUTO</t>
  </si>
  <si>
    <t>EQUIPOS DE OFICINA</t>
  </si>
  <si>
    <t>VEHÍCULOS</t>
  </si>
  <si>
    <t>Sueldos y salarios</t>
  </si>
  <si>
    <t>Arriendo</t>
  </si>
  <si>
    <t>Suministros de Oficina</t>
  </si>
  <si>
    <t>Publicidad</t>
  </si>
  <si>
    <t xml:space="preserve">TOTAL PASIVO Y PATRIMONIO </t>
  </si>
  <si>
    <t>Mano de obra</t>
  </si>
  <si>
    <t xml:space="preserve">SUELDO Y SALARIOS </t>
  </si>
  <si>
    <t>MANO DE OBRA</t>
  </si>
  <si>
    <t xml:space="preserve">Mano de Obra </t>
  </si>
  <si>
    <t xml:space="preserve">Vendedor </t>
  </si>
  <si>
    <t>Vendedor</t>
  </si>
  <si>
    <t>Financiamiento</t>
  </si>
  <si>
    <t>Recurso propio (aporte de socios )</t>
  </si>
  <si>
    <t>INVERSIÓN</t>
  </si>
  <si>
    <t xml:space="preserve">BENEFICIOS SOCIALES </t>
  </si>
  <si>
    <t xml:space="preserve">TOTAL EGRESO </t>
  </si>
  <si>
    <t>(-) Deprec. Acum.  Vehiculo</t>
  </si>
  <si>
    <t>INICIAL</t>
  </si>
  <si>
    <t>GASTO PROVICIONES BENEFIC. SOC.</t>
  </si>
  <si>
    <t>GASTOS FINANCIEROS</t>
  </si>
  <si>
    <t>CANTIDAD (Anual)</t>
  </si>
  <si>
    <t xml:space="preserve">TOTAL PASIVO </t>
  </si>
  <si>
    <t>UAII</t>
  </si>
  <si>
    <t>Depreciación</t>
  </si>
  <si>
    <t>Amortización</t>
  </si>
  <si>
    <t>Utilidad acumulada</t>
  </si>
  <si>
    <t>IMPUESTO A LA RENTA</t>
  </si>
  <si>
    <t xml:space="preserve"> AÑOS</t>
  </si>
  <si>
    <t xml:space="preserve"> MESES</t>
  </si>
  <si>
    <t xml:space="preserve"> DÍAS</t>
  </si>
  <si>
    <t xml:space="preserve">, </t>
  </si>
  <si>
    <t xml:space="preserve">INDICADORES FINANCIEROS </t>
  </si>
  <si>
    <t>LIQUIDEZ CORRIENTE=</t>
  </si>
  <si>
    <t xml:space="preserve"> </t>
  </si>
  <si>
    <t>INDICADORES DE RENTABILIDAD</t>
  </si>
  <si>
    <t>NIVEL DE ENDEUDAMIENTO=</t>
  </si>
  <si>
    <t>Total Activo</t>
  </si>
  <si>
    <t>APALANCAMIENTO=</t>
  </si>
  <si>
    <t>Patrimonio</t>
  </si>
  <si>
    <t>Impuesto a la Renta</t>
  </si>
  <si>
    <t>PASIVO CORRIENTE</t>
  </si>
  <si>
    <t>Participación de los trabajadores</t>
  </si>
  <si>
    <t xml:space="preserve">(-) </t>
  </si>
  <si>
    <t>Pago de participación de trabajadores</t>
  </si>
  <si>
    <t>CAPITAL DE TRABAJO=</t>
  </si>
  <si>
    <t>Utilidad Neta =</t>
  </si>
  <si>
    <t>Ventas=</t>
  </si>
  <si>
    <t>Activo Corriente=</t>
  </si>
  <si>
    <t>Activo Corriente- Pasivo Corriente =</t>
  </si>
  <si>
    <t>Total Pasivo =</t>
  </si>
  <si>
    <t>Activo Total =</t>
  </si>
  <si>
    <t>EVA</t>
  </si>
  <si>
    <t>Capital de Trabajo</t>
  </si>
  <si>
    <t>Activo Fijo Neto</t>
  </si>
  <si>
    <t>CAPITAL DE INVERSION</t>
  </si>
  <si>
    <t>NOPAT</t>
  </si>
  <si>
    <t>ROIC</t>
  </si>
  <si>
    <t>"TENATU"</t>
  </si>
  <si>
    <t>SUELDO BÁSICO</t>
  </si>
  <si>
    <t>TOTAL PASIVO CORRIENTE</t>
  </si>
  <si>
    <t>Reserva Legal</t>
  </si>
  <si>
    <t>COSTO PROMEDIO PONDERADO DE CAPITAL</t>
  </si>
  <si>
    <t>COSTO DEL RECURSO PROPIO</t>
  </si>
  <si>
    <t>MARCA</t>
  </si>
  <si>
    <t>PRESENTACIÓN</t>
  </si>
  <si>
    <t>PVP</t>
  </si>
  <si>
    <t>PRECIOS EN RELACIÓN A UN LITRO</t>
  </si>
  <si>
    <t>SUNTEA</t>
  </si>
  <si>
    <t>1 LT</t>
  </si>
  <si>
    <t>FUZE TEA</t>
  </si>
  <si>
    <t>BRISK</t>
  </si>
  <si>
    <t>500ml</t>
  </si>
  <si>
    <t>FRUTARIS TESALIA</t>
  </si>
  <si>
    <t>500 ml</t>
  </si>
  <si>
    <t>NESTEA</t>
  </si>
  <si>
    <t>1 Lt</t>
  </si>
  <si>
    <t>LIPTON</t>
  </si>
  <si>
    <t>N°</t>
  </si>
  <si>
    <t>Cantidad mensual</t>
  </si>
  <si>
    <t>Cantidad anual</t>
  </si>
  <si>
    <t xml:space="preserve">CÁLCULO EVA </t>
  </si>
  <si>
    <t>INDICADORES DE ENDEUDAMIENTO</t>
  </si>
  <si>
    <t>Por cada dólar que la empresa debe cuenta con $3,24 para respaldar a sus pasivos corrientes o sus cuentas a corto plazo.</t>
  </si>
  <si>
    <t>Una vez que la empresa cancele el total de sus obligaciones corrientes le quedan  $40851,26 para atender obligaciones del normal desarrollo de su actividad económica</t>
  </si>
  <si>
    <t>Nos indica que los activos financieros producen una rentabilidad superior al de interes de deuda.</t>
  </si>
  <si>
    <t>ROA=</t>
  </si>
  <si>
    <t>Activo Total</t>
  </si>
  <si>
    <t>Utilidad Neta  =</t>
  </si>
  <si>
    <t xml:space="preserve">RENTABILIDAD FINANCIERA (ROE) = </t>
  </si>
  <si>
    <t>Al ser el ROE mayor que el ROA significa que el costo medio de la deuda es inferior a la rentabilidad.</t>
  </si>
  <si>
    <t>MARGEN OPERACIONAL DE UTILIDAD=</t>
  </si>
  <si>
    <t>Ventas Netas</t>
  </si>
  <si>
    <t>Utilidad operacional =</t>
  </si>
  <si>
    <t>INDICADORES DE ACTIVIDAD</t>
  </si>
  <si>
    <t>ROTACIÓN DEL ACTIVO TOTAL =</t>
  </si>
  <si>
    <t>Activos total promedio</t>
  </si>
  <si>
    <t>Por cada dólar invertido en activos totales genero ventas de 1,78 en un año</t>
  </si>
  <si>
    <t>Se puede concluir que la empresa genera un 31% de utilidad operacional de acuerdo a sus ventas</t>
  </si>
  <si>
    <t>Deuda a corto plazo</t>
  </si>
  <si>
    <t>Pago de Impuesto a la Renta del ano anterior</t>
  </si>
  <si>
    <t>Participación de Trabajadores por pagar</t>
  </si>
  <si>
    <t>Impuesto a la Renta por pagar</t>
  </si>
  <si>
    <t xml:space="preserve">RECURSO AJENO A CORTO PLAZO </t>
  </si>
  <si>
    <t>RECURSO AJENO A LARGO PLAZO</t>
  </si>
  <si>
    <t xml:space="preserve"> Nuestra empresa se desarrolla con un 52% de capital ajeno asi que depende de este porcentaje de financiamiento de acreedores externos.</t>
  </si>
  <si>
    <t xml:space="preserve">Inflación (f)  </t>
  </si>
  <si>
    <t>PRECIO DE VENTA AL PÚBLICO EM REFERENCIA AL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</si>
</sst>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\ #,##0_);[Red]\(&quot;$&quot;\ #,##0\)"/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$-300A]\ #,##0.00"/>
    <numFmt numFmtId="166" formatCode="0.0000%"/>
    <numFmt numFmtId="167" formatCode="&quot;$&quot;\ #,##0.00"/>
    <numFmt numFmtId="168" formatCode="_-[$$-300A]\ * #,##0.00_ ;_-[$$-300A]\ * \-#,##0.00\ ;_-[$$-300A]\ * &quot;-&quot;??_ ;_-@_ "/>
    <numFmt numFmtId="169" formatCode="&quot;$&quot;\ #,##0.0000000"/>
    <numFmt numFmtId="170" formatCode="0\ &quot;AÑOS&quot;"/>
    <numFmt numFmtId="171" formatCode="[$$-540A]#,##0.00"/>
    <numFmt numFmtId="172" formatCode="0.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1"/>
      <name val="Calibri"/>
      <family val="2"/>
      <scheme val="minor"/>
    </font>
    <font>
      <b/>
      <sz val="14"/>
      <color theme="1"/>
      <name val="Andalus"/>
      <family val="1"/>
    </font>
    <font>
      <sz val="11"/>
      <color rgb="FFFF0000"/>
      <name val="Calibri"/>
      <family val="2"/>
      <scheme val="minor"/>
    </font>
    <font>
      <b/>
      <sz val="11"/>
      <color theme="1"/>
      <name val="Andalus"/>
      <family val="1"/>
    </font>
    <font>
      <sz val="8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2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mbria"/>
      <family val="1"/>
    </font>
    <font>
      <sz val="48"/>
      <color theme="1"/>
      <name val="Cambria"/>
      <family val="1"/>
    </font>
    <font>
      <b/>
      <sz val="12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  <scheme val="minor"/>
    </font>
    <font>
      <sz val="11"/>
      <color theme="0"/>
      <name val="Cambria"/>
      <family val="1"/>
    </font>
    <font>
      <b/>
      <sz val="11"/>
      <color theme="0"/>
      <name val="Cambria"/>
      <family val="1"/>
    </font>
    <font>
      <b/>
      <sz val="14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CC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0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1" fillId="0" borderId="0" xfId="0" applyFont="1"/>
    <xf numFmtId="9" fontId="0" fillId="0" borderId="0" xfId="0" applyNumberFormat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2" fontId="0" fillId="0" borderId="1" xfId="0" applyNumberFormat="1" applyBorder="1"/>
    <xf numFmtId="167" fontId="0" fillId="0" borderId="0" xfId="0" applyNumberFormat="1"/>
    <xf numFmtId="6" fontId="0" fillId="0" borderId="1" xfId="0" applyNumberFormat="1" applyBorder="1"/>
    <xf numFmtId="8" fontId="0" fillId="0" borderId="1" xfId="0" applyNumberFormat="1" applyBorder="1"/>
    <xf numFmtId="0" fontId="0" fillId="0" borderId="0" xfId="0" applyAlignment="1">
      <alignment horizontal="right"/>
    </xf>
    <xf numFmtId="0" fontId="1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/>
    <xf numFmtId="6" fontId="0" fillId="0" borderId="0" xfId="0" applyNumberFormat="1" applyBorder="1"/>
    <xf numFmtId="170" fontId="0" fillId="0" borderId="0" xfId="0" applyNumberFormat="1" applyBorder="1"/>
    <xf numFmtId="44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0" fillId="0" borderId="10" xfId="0" applyBorder="1"/>
    <xf numFmtId="167" fontId="0" fillId="0" borderId="1" xfId="0" applyNumberFormat="1" applyFill="1" applyBorder="1"/>
    <xf numFmtId="0" fontId="0" fillId="0" borderId="5" xfId="0" applyFill="1" applyBorder="1"/>
    <xf numFmtId="9" fontId="0" fillId="0" borderId="1" xfId="0" applyNumberFormat="1" applyBorder="1"/>
    <xf numFmtId="10" fontId="0" fillId="0" borderId="1" xfId="0" applyNumberFormat="1" applyBorder="1"/>
    <xf numFmtId="0" fontId="0" fillId="0" borderId="0" xfId="0" applyFill="1" applyBorder="1"/>
    <xf numFmtId="167" fontId="0" fillId="0" borderId="0" xfId="0" applyNumberFormat="1" applyBorder="1"/>
    <xf numFmtId="167" fontId="0" fillId="0" borderId="1" xfId="0" applyNumberFormat="1" applyFont="1" applyBorder="1"/>
    <xf numFmtId="0" fontId="16" fillId="0" borderId="1" xfId="0" applyFont="1" applyBorder="1"/>
    <xf numFmtId="2" fontId="16" fillId="0" borderId="1" xfId="0" applyNumberFormat="1" applyFont="1" applyBorder="1"/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10" fontId="15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167" fontId="16" fillId="0" borderId="1" xfId="0" applyNumberFormat="1" applyFont="1" applyBorder="1"/>
    <xf numFmtId="44" fontId="0" fillId="0" borderId="1" xfId="2" applyFont="1" applyBorder="1"/>
    <xf numFmtId="0" fontId="9" fillId="0" borderId="0" xfId="0" applyFont="1"/>
    <xf numFmtId="0" fontId="0" fillId="0" borderId="0" xfId="0" applyFont="1"/>
    <xf numFmtId="44" fontId="0" fillId="0" borderId="0" xfId="0" applyNumberFormat="1"/>
    <xf numFmtId="167" fontId="1" fillId="0" borderId="0" xfId="0" applyNumberFormat="1" applyFont="1"/>
    <xf numFmtId="44" fontId="0" fillId="0" borderId="1" xfId="0" applyNumberFormat="1" applyFont="1" applyBorder="1"/>
    <xf numFmtId="0" fontId="15" fillId="0" borderId="6" xfId="0" applyFont="1" applyBorder="1"/>
    <xf numFmtId="0" fontId="5" fillId="0" borderId="1" xfId="0" applyFont="1" applyBorder="1"/>
    <xf numFmtId="167" fontId="0" fillId="0" borderId="13" xfId="0" applyNumberFormat="1" applyFont="1" applyBorder="1"/>
    <xf numFmtId="10" fontId="0" fillId="0" borderId="1" xfId="1" applyNumberFormat="1" applyFont="1" applyBorder="1"/>
    <xf numFmtId="0" fontId="1" fillId="0" borderId="0" xfId="0" applyFont="1" applyFill="1" applyBorder="1" applyAlignment="1"/>
    <xf numFmtId="10" fontId="0" fillId="0" borderId="0" xfId="1" applyNumberFormat="1" applyFont="1" applyBorder="1"/>
    <xf numFmtId="0" fontId="9" fillId="8" borderId="0" xfId="0" applyFont="1" applyFill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6" borderId="1" xfId="0" applyFont="1" applyFill="1" applyBorder="1"/>
    <xf numFmtId="0" fontId="0" fillId="0" borderId="0" xfId="0" applyFill="1"/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6" fontId="0" fillId="3" borderId="1" xfId="0" applyNumberFormat="1" applyFill="1" applyBorder="1"/>
    <xf numFmtId="2" fontId="0" fillId="3" borderId="1" xfId="0" applyNumberFormat="1" applyFill="1" applyBorder="1"/>
    <xf numFmtId="0" fontId="0" fillId="3" borderId="0" xfId="0" applyFill="1"/>
    <xf numFmtId="0" fontId="0" fillId="9" borderId="1" xfId="0" applyFill="1" applyBorder="1"/>
    <xf numFmtId="6" fontId="0" fillId="9" borderId="1" xfId="0" applyNumberFormat="1" applyFill="1" applyBorder="1"/>
    <xf numFmtId="2" fontId="0" fillId="9" borderId="1" xfId="0" applyNumberFormat="1" applyFill="1" applyBorder="1"/>
    <xf numFmtId="0" fontId="0" fillId="8" borderId="1" xfId="0" applyFill="1" applyBorder="1"/>
    <xf numFmtId="6" fontId="0" fillId="8" borderId="1" xfId="0" applyNumberFormat="1" applyFill="1" applyBorder="1"/>
    <xf numFmtId="2" fontId="0" fillId="8" borderId="1" xfId="0" applyNumberFormat="1" applyFill="1" applyBorder="1"/>
    <xf numFmtId="8" fontId="0" fillId="9" borderId="1" xfId="0" applyNumberFormat="1" applyFill="1" applyBorder="1"/>
    <xf numFmtId="0" fontId="0" fillId="7" borderId="1" xfId="0" applyFill="1" applyBorder="1"/>
    <xf numFmtId="2" fontId="0" fillId="7" borderId="1" xfId="0" applyNumberFormat="1" applyFill="1" applyBorder="1"/>
    <xf numFmtId="8" fontId="0" fillId="7" borderId="1" xfId="0" applyNumberFormat="1" applyFill="1" applyBorder="1"/>
    <xf numFmtId="167" fontId="0" fillId="10" borderId="1" xfId="0" applyNumberFormat="1" applyFill="1" applyBorder="1"/>
    <xf numFmtId="167" fontId="0" fillId="7" borderId="1" xfId="0" applyNumberFormat="1" applyFill="1" applyBorder="1"/>
    <xf numFmtId="0" fontId="1" fillId="0" borderId="8" xfId="0" applyFont="1" applyBorder="1"/>
    <xf numFmtId="0" fontId="0" fillId="0" borderId="9" xfId="0" applyBorder="1"/>
    <xf numFmtId="0" fontId="0" fillId="0" borderId="15" xfId="0" applyBorder="1"/>
    <xf numFmtId="0" fontId="0" fillId="0" borderId="10" xfId="0" applyFont="1" applyBorder="1"/>
    <xf numFmtId="0" fontId="0" fillId="0" borderId="16" xfId="0" applyBorder="1"/>
    <xf numFmtId="0" fontId="1" fillId="10" borderId="10" xfId="0" applyFont="1" applyFill="1" applyBorder="1"/>
    <xf numFmtId="0" fontId="0" fillId="10" borderId="0" xfId="0" applyFill="1" applyBorder="1"/>
    <xf numFmtId="0" fontId="0" fillId="10" borderId="16" xfId="0" applyFill="1" applyBorder="1"/>
    <xf numFmtId="0" fontId="1" fillId="7" borderId="10" xfId="0" applyFont="1" applyFill="1" applyBorder="1"/>
    <xf numFmtId="0" fontId="0" fillId="7" borderId="0" xfId="0" applyFill="1" applyBorder="1"/>
    <xf numFmtId="0" fontId="0" fillId="7" borderId="16" xfId="0" applyFill="1" applyBorder="1"/>
    <xf numFmtId="0" fontId="1" fillId="10" borderId="6" xfId="0" applyFont="1" applyFill="1" applyBorder="1"/>
    <xf numFmtId="0" fontId="0" fillId="10" borderId="7" xfId="0" applyFill="1" applyBorder="1"/>
    <xf numFmtId="0" fontId="0" fillId="10" borderId="17" xfId="0" applyFill="1" applyBorder="1"/>
    <xf numFmtId="0" fontId="0" fillId="0" borderId="8" xfId="0" applyFont="1" applyBorder="1"/>
    <xf numFmtId="0" fontId="0" fillId="0" borderId="7" xfId="0" applyBorder="1"/>
    <xf numFmtId="0" fontId="0" fillId="0" borderId="17" xfId="0" applyBorder="1"/>
    <xf numFmtId="0" fontId="0" fillId="0" borderId="2" xfId="0" applyFont="1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1" fillId="10" borderId="2" xfId="0" applyFont="1" applyFill="1" applyBorder="1"/>
    <xf numFmtId="0" fontId="0" fillId="10" borderId="4" xfId="0" applyFill="1" applyBorder="1"/>
    <xf numFmtId="0" fontId="0" fillId="10" borderId="3" xfId="0" applyFill="1" applyBorder="1"/>
    <xf numFmtId="0" fontId="0" fillId="12" borderId="0" xfId="0" applyFill="1" applyBorder="1"/>
    <xf numFmtId="0" fontId="0" fillId="12" borderId="16" xfId="0" applyFill="1" applyBorder="1"/>
    <xf numFmtId="167" fontId="0" fillId="12" borderId="1" xfId="0" applyNumberFormat="1" applyFill="1" applyBorder="1"/>
    <xf numFmtId="4" fontId="0" fillId="0" borderId="0" xfId="0" applyNumberFormat="1"/>
    <xf numFmtId="0" fontId="2" fillId="3" borderId="0" xfId="0" applyFont="1" applyFill="1"/>
    <xf numFmtId="0" fontId="2" fillId="3" borderId="11" xfId="0" applyFont="1" applyFill="1" applyBorder="1"/>
    <xf numFmtId="0" fontId="2" fillId="3" borderId="18" xfId="0" applyFont="1" applyFill="1" applyBorder="1"/>
    <xf numFmtId="0" fontId="2" fillId="3" borderId="0" xfId="0" applyFont="1" applyFill="1" applyBorder="1"/>
    <xf numFmtId="0" fontId="2" fillId="3" borderId="21" xfId="0" applyFont="1" applyFill="1" applyBorder="1"/>
    <xf numFmtId="0" fontId="2" fillId="3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2" xfId="0" applyFont="1" applyFill="1" applyBorder="1"/>
    <xf numFmtId="0" fontId="2" fillId="3" borderId="22" xfId="0" applyFont="1" applyFill="1" applyBorder="1"/>
    <xf numFmtId="0" fontId="2" fillId="3" borderId="7" xfId="0" applyFont="1" applyFill="1" applyBorder="1" applyAlignment="1"/>
    <xf numFmtId="0" fontId="2" fillId="3" borderId="9" xfId="0" applyFont="1" applyFill="1" applyBorder="1" applyAlignment="1"/>
    <xf numFmtId="171" fontId="2" fillId="3" borderId="0" xfId="0" applyNumberFormat="1" applyFont="1" applyFill="1" applyBorder="1"/>
    <xf numFmtId="171" fontId="2" fillId="13" borderId="0" xfId="0" applyNumberFormat="1" applyFont="1" applyFill="1" applyBorder="1"/>
    <xf numFmtId="171" fontId="2" fillId="3" borderId="7" xfId="0" applyNumberFormat="1" applyFont="1" applyFill="1" applyBorder="1"/>
    <xf numFmtId="171" fontId="2" fillId="3" borderId="21" xfId="0" applyNumberFormat="1" applyFont="1" applyFill="1" applyBorder="1"/>
    <xf numFmtId="171" fontId="2" fillId="3" borderId="22" xfId="0" applyNumberFormat="1" applyFont="1" applyFill="1" applyBorder="1"/>
    <xf numFmtId="171" fontId="2" fillId="3" borderId="23" xfId="0" applyNumberFormat="1" applyFont="1" applyFill="1" applyBorder="1"/>
    <xf numFmtId="171" fontId="2" fillId="3" borderId="0" xfId="0" applyNumberFormat="1" applyFont="1" applyFill="1"/>
    <xf numFmtId="171" fontId="2" fillId="3" borderId="18" xfId="0" applyNumberFormat="1" applyFont="1" applyFill="1" applyBorder="1"/>
    <xf numFmtId="171" fontId="2" fillId="3" borderId="19" xfId="0" applyNumberFormat="1" applyFont="1" applyFill="1" applyBorder="1"/>
    <xf numFmtId="0" fontId="5" fillId="0" borderId="0" xfId="0" applyFont="1" applyFill="1" applyBorder="1" applyAlignment="1"/>
    <xf numFmtId="0" fontId="15" fillId="0" borderId="0" xfId="0" applyFont="1" applyFill="1" applyBorder="1"/>
    <xf numFmtId="44" fontId="15" fillId="0" borderId="1" xfId="0" applyNumberFormat="1" applyFont="1" applyFill="1" applyBorder="1"/>
    <xf numFmtId="10" fontId="15" fillId="0" borderId="0" xfId="0" applyNumberFormat="1" applyFont="1" applyFill="1" applyBorder="1"/>
    <xf numFmtId="8" fontId="15" fillId="0" borderId="1" xfId="0" applyNumberFormat="1" applyFont="1" applyFill="1" applyBorder="1"/>
    <xf numFmtId="8" fontId="15" fillId="0" borderId="0" xfId="0" applyNumberFormat="1" applyFont="1"/>
    <xf numFmtId="44" fontId="15" fillId="0" borderId="0" xfId="0" applyNumberFormat="1" applyFont="1"/>
    <xf numFmtId="0" fontId="5" fillId="0" borderId="0" xfId="0" applyFont="1" applyFill="1" applyBorder="1"/>
    <xf numFmtId="8" fontId="15" fillId="0" borderId="0" xfId="0" applyNumberFormat="1" applyFont="1" applyAlignment="1">
      <alignment horizontal="left"/>
    </xf>
    <xf numFmtId="164" fontId="15" fillId="0" borderId="0" xfId="0" applyNumberFormat="1" applyFont="1"/>
    <xf numFmtId="8" fontId="15" fillId="0" borderId="0" xfId="0" applyNumberFormat="1" applyFont="1" applyFill="1"/>
    <xf numFmtId="43" fontId="15" fillId="0" borderId="0" xfId="0" applyNumberFormat="1" applyFont="1"/>
    <xf numFmtId="1" fontId="15" fillId="0" borderId="0" xfId="0" applyNumberFormat="1" applyFont="1" applyFill="1" applyBorder="1"/>
    <xf numFmtId="2" fontId="15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0" borderId="1" xfId="0" applyFont="1" applyFill="1" applyBorder="1"/>
    <xf numFmtId="167" fontId="1" fillId="0" borderId="1" xfId="0" applyNumberFormat="1" applyFont="1" applyFill="1" applyBorder="1"/>
    <xf numFmtId="0" fontId="1" fillId="16" borderId="1" xfId="0" applyFont="1" applyFill="1" applyBorder="1"/>
    <xf numFmtId="0" fontId="1" fillId="14" borderId="1" xfId="0" applyFont="1" applyFill="1" applyBorder="1"/>
    <xf numFmtId="167" fontId="0" fillId="14" borderId="1" xfId="0" applyNumberFormat="1" applyFill="1" applyBorder="1"/>
    <xf numFmtId="0" fontId="1" fillId="11" borderId="1" xfId="0" applyFont="1" applyFill="1" applyBorder="1"/>
    <xf numFmtId="167" fontId="0" fillId="11" borderId="1" xfId="0" applyNumberFormat="1" applyFill="1" applyBorder="1"/>
    <xf numFmtId="0" fontId="1" fillId="2" borderId="1" xfId="0" applyFont="1" applyFill="1" applyBorder="1"/>
    <xf numFmtId="0" fontId="1" fillId="15" borderId="1" xfId="0" applyFont="1" applyFill="1" applyBorder="1"/>
    <xf numFmtId="167" fontId="1" fillId="14" borderId="1" xfId="0" applyNumberFormat="1" applyFont="1" applyFill="1" applyBorder="1"/>
    <xf numFmtId="0" fontId="1" fillId="15" borderId="1" xfId="0" applyFont="1" applyFill="1" applyBorder="1" applyAlignment="1">
      <alignment horizontal="left"/>
    </xf>
    <xf numFmtId="167" fontId="1" fillId="15" borderId="1" xfId="0" applyNumberFormat="1" applyFont="1" applyFill="1" applyBorder="1" applyAlignment="1">
      <alignment horizontal="center"/>
    </xf>
    <xf numFmtId="0" fontId="0" fillId="11" borderId="1" xfId="0" applyFill="1" applyBorder="1"/>
    <xf numFmtId="167" fontId="0" fillId="11" borderId="1" xfId="0" applyNumberFormat="1" applyFill="1" applyBorder="1" applyAlignment="1">
      <alignment horizontal="right"/>
    </xf>
    <xf numFmtId="0" fontId="0" fillId="14" borderId="1" xfId="0" applyFill="1" applyBorder="1"/>
    <xf numFmtId="0" fontId="0" fillId="16" borderId="1" xfId="0" applyFill="1" applyBorder="1"/>
    <xf numFmtId="167" fontId="0" fillId="14" borderId="1" xfId="0" applyNumberFormat="1" applyFont="1" applyFill="1" applyBorder="1"/>
    <xf numFmtId="0" fontId="17" fillId="16" borderId="24" xfId="0" applyFont="1" applyFill="1" applyBorder="1" applyAlignment="1">
      <alignment horizontal="center"/>
    </xf>
    <xf numFmtId="0" fontId="17" fillId="16" borderId="25" xfId="0" applyFont="1" applyFill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0" fillId="0" borderId="28" xfId="0" applyBorder="1"/>
    <xf numFmtId="2" fontId="0" fillId="0" borderId="28" xfId="0" applyNumberFormat="1" applyBorder="1"/>
    <xf numFmtId="0" fontId="16" fillId="0" borderId="29" xfId="0" applyFont="1" applyBorder="1" applyAlignment="1">
      <alignment horizontal="center"/>
    </xf>
    <xf numFmtId="2" fontId="16" fillId="0" borderId="30" xfId="0" applyNumberFormat="1" applyFont="1" applyBorder="1"/>
    <xf numFmtId="2" fontId="0" fillId="0" borderId="30" xfId="0" applyNumberFormat="1" applyBorder="1"/>
    <xf numFmtId="2" fontId="0" fillId="0" borderId="31" xfId="0" applyNumberFormat="1" applyBorder="1"/>
    <xf numFmtId="0" fontId="0" fillId="14" borderId="25" xfId="0" applyFill="1" applyBorder="1"/>
    <xf numFmtId="0" fontId="0" fillId="14" borderId="26" xfId="0" applyFill="1" applyBorder="1"/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0" fontId="5" fillId="0" borderId="24" xfId="0" applyFont="1" applyBorder="1"/>
    <xf numFmtId="0" fontId="15" fillId="0" borderId="26" xfId="0" applyFont="1" applyBorder="1" applyAlignment="1">
      <alignment horizontal="right"/>
    </xf>
    <xf numFmtId="0" fontId="5" fillId="0" borderId="27" xfId="0" applyFont="1" applyBorder="1"/>
    <xf numFmtId="167" fontId="0" fillId="0" borderId="28" xfId="0" applyNumberFormat="1" applyBorder="1"/>
    <xf numFmtId="10" fontId="15" fillId="0" borderId="28" xfId="1" applyNumberFormat="1" applyFont="1" applyBorder="1" applyAlignment="1">
      <alignment horizontal="right"/>
    </xf>
    <xf numFmtId="10" fontId="0" fillId="0" borderId="28" xfId="1" applyNumberFormat="1" applyFont="1" applyBorder="1"/>
    <xf numFmtId="0" fontId="15" fillId="0" borderId="28" xfId="0" applyFont="1" applyBorder="1"/>
    <xf numFmtId="0" fontId="5" fillId="0" borderId="29" xfId="0" applyFont="1" applyBorder="1"/>
    <xf numFmtId="0" fontId="15" fillId="0" borderId="31" xfId="0" applyFont="1" applyBorder="1"/>
    <xf numFmtId="1" fontId="8" fillId="0" borderId="1" xfId="0" applyNumberFormat="1" applyFont="1" applyFill="1" applyBorder="1"/>
    <xf numFmtId="2" fontId="8" fillId="0" borderId="1" xfId="0" applyNumberFormat="1" applyFont="1" applyFill="1" applyBorder="1"/>
    <xf numFmtId="10" fontId="8" fillId="0" borderId="1" xfId="0" applyNumberFormat="1" applyFont="1" applyFill="1" applyBorder="1"/>
    <xf numFmtId="0" fontId="22" fillId="14" borderId="1" xfId="0" applyFont="1" applyFill="1" applyBorder="1"/>
    <xf numFmtId="0" fontId="17" fillId="16" borderId="1" xfId="0" applyFont="1" applyFill="1" applyBorder="1"/>
    <xf numFmtId="0" fontId="1" fillId="16" borderId="1" xfId="0" applyFont="1" applyFill="1" applyBorder="1" applyAlignment="1">
      <alignment wrapText="1"/>
    </xf>
    <xf numFmtId="0" fontId="1" fillId="16" borderId="1" xfId="0" applyFont="1" applyFill="1" applyBorder="1" applyAlignment="1">
      <alignment horizontal="center" wrapText="1"/>
    </xf>
    <xf numFmtId="167" fontId="1" fillId="2" borderId="1" xfId="0" applyNumberFormat="1" applyFont="1" applyFill="1" applyBorder="1"/>
    <xf numFmtId="167" fontId="1" fillId="6" borderId="1" xfId="0" applyNumberFormat="1" applyFont="1" applyFill="1" applyBorder="1"/>
    <xf numFmtId="0" fontId="1" fillId="12" borderId="10" xfId="0" applyFont="1" applyFill="1" applyBorder="1"/>
    <xf numFmtId="0" fontId="15" fillId="0" borderId="8" xfId="0" applyFont="1" applyBorder="1"/>
    <xf numFmtId="0" fontId="15" fillId="0" borderId="2" xfId="0" applyFont="1" applyBorder="1"/>
    <xf numFmtId="0" fontId="15" fillId="0" borderId="2" xfId="0" applyFont="1" applyBorder="1" applyAlignment="1">
      <alignment horizontal="right"/>
    </xf>
    <xf numFmtId="0" fontId="5" fillId="15" borderId="2" xfId="0" applyFont="1" applyFill="1" applyBorder="1"/>
    <xf numFmtId="167" fontId="1" fillId="15" borderId="1" xfId="0" applyNumberFormat="1" applyFont="1" applyFill="1" applyBorder="1"/>
    <xf numFmtId="0" fontId="23" fillId="0" borderId="1" xfId="0" applyFont="1" applyFill="1" applyBorder="1" applyAlignment="1">
      <alignment horizontal="right"/>
    </xf>
    <xf numFmtId="0" fontId="24" fillId="5" borderId="1" xfId="0" applyFont="1" applyFill="1" applyBorder="1"/>
    <xf numFmtId="44" fontId="25" fillId="5" borderId="1" xfId="0" applyNumberFormat="1" applyFont="1" applyFill="1" applyBorder="1"/>
    <xf numFmtId="167" fontId="25" fillId="5" borderId="13" xfId="0" applyNumberFormat="1" applyFont="1" applyFill="1" applyBorder="1"/>
    <xf numFmtId="0" fontId="26" fillId="0" borderId="2" xfId="0" applyFont="1" applyBorder="1"/>
    <xf numFmtId="0" fontId="26" fillId="0" borderId="2" xfId="0" applyFont="1" applyBorder="1" applyAlignment="1">
      <alignment horizontal="right"/>
    </xf>
    <xf numFmtId="0" fontId="0" fillId="0" borderId="0" xfId="0" applyAlignment="1">
      <alignment wrapText="1"/>
    </xf>
    <xf numFmtId="0" fontId="1" fillId="16" borderId="1" xfId="0" applyFont="1" applyFill="1" applyBorder="1" applyAlignment="1"/>
    <xf numFmtId="0" fontId="5" fillId="16" borderId="0" xfId="0" applyFont="1" applyFill="1" applyAlignment="1">
      <alignment horizontal="center"/>
    </xf>
    <xf numFmtId="164" fontId="15" fillId="14" borderId="0" xfId="0" applyNumberFormat="1" applyFont="1" applyFill="1"/>
    <xf numFmtId="44" fontId="15" fillId="14" borderId="0" xfId="0" applyNumberFormat="1" applyFont="1" applyFill="1"/>
    <xf numFmtId="10" fontId="15" fillId="14" borderId="0" xfId="0" applyNumberFormat="1" applyFont="1" applyFill="1" applyAlignment="1">
      <alignment horizontal="center"/>
    </xf>
    <xf numFmtId="2" fontId="15" fillId="14" borderId="0" xfId="0" applyNumberFormat="1" applyFont="1" applyFill="1" applyAlignment="1">
      <alignment horizontal="center"/>
    </xf>
    <xf numFmtId="10" fontId="15" fillId="14" borderId="0" xfId="1" applyNumberFormat="1" applyFont="1" applyFill="1" applyAlignment="1">
      <alignment horizontal="center"/>
    </xf>
    <xf numFmtId="0" fontId="5" fillId="3" borderId="14" xfId="0" applyFont="1" applyFill="1" applyBorder="1"/>
    <xf numFmtId="44" fontId="15" fillId="3" borderId="14" xfId="0" applyNumberFormat="1" applyFont="1" applyFill="1" applyBorder="1"/>
    <xf numFmtId="8" fontId="15" fillId="3" borderId="14" xfId="0" applyNumberFormat="1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" xfId="0" applyFont="1" applyFill="1" applyBorder="1"/>
    <xf numFmtId="8" fontId="5" fillId="0" borderId="1" xfId="0" applyNumberFormat="1" applyFont="1" applyBorder="1"/>
    <xf numFmtId="0" fontId="26" fillId="0" borderId="0" xfId="0" applyFont="1" applyFill="1"/>
    <xf numFmtId="171" fontId="26" fillId="0" borderId="0" xfId="0" applyNumberFormat="1" applyFont="1" applyFill="1"/>
    <xf numFmtId="0" fontId="27" fillId="0" borderId="0" xfId="0" applyFont="1" applyFill="1"/>
    <xf numFmtId="171" fontId="27" fillId="0" borderId="0" xfId="0" applyNumberFormat="1" applyFont="1" applyFill="1"/>
    <xf numFmtId="10" fontId="27" fillId="0" borderId="0" xfId="0" applyNumberFormat="1" applyFont="1" applyFill="1"/>
    <xf numFmtId="171" fontId="15" fillId="0" borderId="1" xfId="0" applyNumberFormat="1" applyFont="1" applyBorder="1"/>
    <xf numFmtId="0" fontId="5" fillId="11" borderId="1" xfId="0" applyFont="1" applyFill="1" applyBorder="1"/>
    <xf numFmtId="171" fontId="5" fillId="11" borderId="1" xfId="0" applyNumberFormat="1" applyFont="1" applyFill="1" applyBorder="1"/>
    <xf numFmtId="10" fontId="5" fillId="11" borderId="1" xfId="0" applyNumberFormat="1" applyFont="1" applyFill="1" applyBorder="1"/>
    <xf numFmtId="0" fontId="5" fillId="16" borderId="1" xfId="0" applyFont="1" applyFill="1" applyBorder="1"/>
    <xf numFmtId="171" fontId="5" fillId="16" borderId="1" xfId="0" applyNumberFormat="1" applyFont="1" applyFill="1" applyBorder="1"/>
    <xf numFmtId="44" fontId="0" fillId="0" borderId="13" xfId="0" applyNumberFormat="1" applyFont="1" applyBorder="1"/>
    <xf numFmtId="0" fontId="2" fillId="3" borderId="0" xfId="0" applyFont="1" applyFill="1" applyBorder="1" applyAlignment="1">
      <alignment horizontal="center"/>
    </xf>
    <xf numFmtId="0" fontId="19" fillId="13" borderId="2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9" fontId="2" fillId="13" borderId="0" xfId="1" applyFont="1" applyFill="1" applyBorder="1"/>
    <xf numFmtId="10" fontId="2" fillId="3" borderId="20" xfId="1" applyNumberFormat="1" applyFont="1" applyFill="1" applyBorder="1"/>
    <xf numFmtId="9" fontId="2" fillId="13" borderId="21" xfId="1" applyFont="1" applyFill="1" applyBorder="1"/>
    <xf numFmtId="2" fontId="2" fillId="13" borderId="0" xfId="0" applyNumberFormat="1" applyFont="1" applyFill="1" applyBorder="1"/>
    <xf numFmtId="0" fontId="2" fillId="3" borderId="23" xfId="0" applyFont="1" applyFill="1" applyBorder="1"/>
    <xf numFmtId="9" fontId="5" fillId="11" borderId="1" xfId="1" applyFont="1" applyFill="1" applyBorder="1"/>
    <xf numFmtId="2" fontId="2" fillId="13" borderId="21" xfId="0" applyNumberFormat="1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/>
    <xf numFmtId="171" fontId="2" fillId="3" borderId="17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5" xfId="0" applyFont="1" applyFill="1" applyBorder="1"/>
    <xf numFmtId="0" fontId="19" fillId="13" borderId="10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0" xfId="0" applyFont="1" applyFill="1" applyBorder="1"/>
    <xf numFmtId="171" fontId="2" fillId="3" borderId="16" xfId="0" applyNumberFormat="1" applyFont="1" applyFill="1" applyBorder="1"/>
    <xf numFmtId="171" fontId="2" fillId="3" borderId="10" xfId="0" applyNumberFormat="1" applyFont="1" applyFill="1" applyBorder="1"/>
    <xf numFmtId="172" fontId="15" fillId="0" borderId="1" xfId="0" applyNumberFormat="1" applyFont="1" applyBorder="1"/>
    <xf numFmtId="0" fontId="2" fillId="3" borderId="0" xfId="0" applyFont="1" applyFill="1" applyBorder="1" applyAlignment="1">
      <alignment horizontal="center"/>
    </xf>
    <xf numFmtId="171" fontId="2" fillId="3" borderId="9" xfId="0" applyNumberFormat="1" applyFont="1" applyFill="1" applyBorder="1"/>
    <xf numFmtId="171" fontId="2" fillId="3" borderId="15" xfId="0" applyNumberFormat="1" applyFont="1" applyFill="1" applyBorder="1"/>
    <xf numFmtId="171" fontId="2" fillId="0" borderId="16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0" fontId="16" fillId="3" borderId="1" xfId="0" applyNumberFormat="1" applyFont="1" applyFill="1" applyBorder="1"/>
    <xf numFmtId="0" fontId="16" fillId="3" borderId="2" xfId="0" applyFont="1" applyFill="1" applyBorder="1"/>
    <xf numFmtId="0" fontId="16" fillId="3" borderId="4" xfId="0" applyFont="1" applyFill="1" applyBorder="1"/>
    <xf numFmtId="0" fontId="16" fillId="3" borderId="3" xfId="0" applyFont="1" applyFill="1" applyBorder="1"/>
    <xf numFmtId="9" fontId="16" fillId="3" borderId="1" xfId="0" applyNumberFormat="1" applyFont="1" applyFill="1" applyBorder="1"/>
    <xf numFmtId="2" fontId="16" fillId="3" borderId="1" xfId="0" applyNumberFormat="1" applyFont="1" applyFill="1" applyBorder="1" applyAlignment="1">
      <alignment horizontal="right"/>
    </xf>
    <xf numFmtId="0" fontId="12" fillId="3" borderId="0" xfId="0" applyFont="1" applyFill="1"/>
    <xf numFmtId="6" fontId="5" fillId="3" borderId="1" xfId="0" applyNumberFormat="1" applyFont="1" applyFill="1" applyBorder="1"/>
    <xf numFmtId="0" fontId="0" fillId="3" borderId="1" xfId="0" applyFill="1" applyBorder="1" applyAlignment="1">
      <alignment horizontal="left"/>
    </xf>
    <xf numFmtId="8" fontId="0" fillId="3" borderId="1" xfId="0" applyNumberFormat="1" applyFill="1" applyBorder="1" applyAlignment="1">
      <alignment horizontal="right"/>
    </xf>
    <xf numFmtId="6" fontId="0" fillId="3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7" fontId="0" fillId="3" borderId="1" xfId="0" applyNumberForma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168" fontId="0" fillId="3" borderId="1" xfId="0" applyNumberFormat="1" applyFont="1" applyFill="1" applyBorder="1"/>
    <xf numFmtId="0" fontId="0" fillId="3" borderId="1" xfId="0" applyFill="1" applyBorder="1" applyAlignment="1">
      <alignment horizontal="right"/>
    </xf>
    <xf numFmtId="9" fontId="0" fillId="3" borderId="1" xfId="0" applyNumberFormat="1" applyFont="1" applyFill="1" applyBorder="1"/>
    <xf numFmtId="10" fontId="0" fillId="3" borderId="1" xfId="0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9" fontId="0" fillId="3" borderId="0" xfId="0" applyNumberFormat="1" applyFill="1"/>
    <xf numFmtId="44" fontId="0" fillId="3" borderId="1" xfId="0" applyNumberFormat="1" applyFill="1" applyBorder="1" applyAlignment="1">
      <alignment horizontal="center"/>
    </xf>
    <xf numFmtId="44" fontId="0" fillId="3" borderId="0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7" fontId="0" fillId="3" borderId="0" xfId="0" applyNumberFormat="1" applyFill="1"/>
    <xf numFmtId="0" fontId="1" fillId="3" borderId="10" xfId="0" applyFont="1" applyFill="1" applyBorder="1" applyAlignment="1"/>
    <xf numFmtId="0" fontId="1" fillId="3" borderId="0" xfId="0" applyFont="1" applyFill="1" applyBorder="1" applyAlignment="1"/>
    <xf numFmtId="0" fontId="0" fillId="3" borderId="0" xfId="0" applyFill="1" applyAlignment="1">
      <alignment horizontal="right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169" fontId="0" fillId="3" borderId="2" xfId="0" applyNumberFormat="1" applyFill="1" applyBorder="1"/>
    <xf numFmtId="0" fontId="0" fillId="3" borderId="10" xfId="0" applyFill="1" applyBorder="1"/>
    <xf numFmtId="167" fontId="0" fillId="3" borderId="2" xfId="0" applyNumberFormat="1" applyFill="1" applyBorder="1"/>
    <xf numFmtId="9" fontId="0" fillId="3" borderId="0" xfId="1" applyFont="1" applyFill="1"/>
    <xf numFmtId="166" fontId="0" fillId="3" borderId="0" xfId="1" applyNumberFormat="1" applyFont="1" applyFill="1"/>
    <xf numFmtId="165" fontId="0" fillId="3" borderId="2" xfId="0" applyNumberFormat="1" applyFill="1" applyBorder="1"/>
    <xf numFmtId="0" fontId="14" fillId="3" borderId="1" xfId="0" applyFont="1" applyFill="1" applyBorder="1" applyAlignment="1">
      <alignment horizontal="center" wrapText="1"/>
    </xf>
    <xf numFmtId="0" fontId="1" fillId="3" borderId="2" xfId="0" applyFont="1" applyFill="1" applyBorder="1"/>
    <xf numFmtId="165" fontId="1" fillId="3" borderId="2" xfId="0" applyNumberFormat="1" applyFont="1" applyFill="1" applyBorder="1"/>
    <xf numFmtId="0" fontId="8" fillId="3" borderId="1" xfId="0" applyFont="1" applyFill="1" applyBorder="1"/>
    <xf numFmtId="165" fontId="8" fillId="3" borderId="1" xfId="0" applyNumberFormat="1" applyFont="1" applyFill="1" applyBorder="1"/>
    <xf numFmtId="165" fontId="0" fillId="3" borderId="1" xfId="0" applyNumberFormat="1" applyFill="1" applyBorder="1" applyAlignment="1">
      <alignment horizontal="center"/>
    </xf>
    <xf numFmtId="6" fontId="1" fillId="3" borderId="1" xfId="0" applyNumberFormat="1" applyFont="1" applyFill="1" applyBorder="1"/>
    <xf numFmtId="167" fontId="0" fillId="3" borderId="1" xfId="0" applyNumberFormat="1" applyFill="1" applyBorder="1" applyAlignment="1"/>
    <xf numFmtId="165" fontId="0" fillId="3" borderId="0" xfId="0" applyNumberFormat="1" applyFill="1"/>
    <xf numFmtId="0" fontId="0" fillId="3" borderId="2" xfId="0" applyFill="1" applyBorder="1"/>
    <xf numFmtId="0" fontId="0" fillId="3" borderId="2" xfId="0" applyFill="1" applyBorder="1" applyAlignment="1"/>
    <xf numFmtId="165" fontId="0" fillId="3" borderId="1" xfId="0" applyNumberFormat="1" applyFill="1" applyBorder="1"/>
    <xf numFmtId="165" fontId="0" fillId="3" borderId="1" xfId="0" applyNumberFormat="1" applyFill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/>
    <xf numFmtId="4" fontId="1" fillId="3" borderId="0" xfId="0" applyNumberFormat="1" applyFont="1" applyFill="1"/>
    <xf numFmtId="0" fontId="5" fillId="7" borderId="1" xfId="0" applyFont="1" applyFill="1" applyBorder="1" applyAlignment="1">
      <alignment horizontal="center"/>
    </xf>
    <xf numFmtId="6" fontId="5" fillId="7" borderId="1" xfId="0" applyNumberFormat="1" applyFont="1" applyFill="1" applyBorder="1" applyAlignment="1">
      <alignment horizontal="center"/>
    </xf>
    <xf numFmtId="6" fontId="5" fillId="7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16" fillId="3" borderId="2" xfId="0" applyFont="1" applyFill="1" applyBorder="1"/>
    <xf numFmtId="0" fontId="16" fillId="3" borderId="4" xfId="0" applyFont="1" applyFill="1" applyBorder="1"/>
    <xf numFmtId="0" fontId="16" fillId="3" borderId="3" xfId="0" applyFont="1" applyFill="1" applyBorder="1"/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/>
    </xf>
    <xf numFmtId="0" fontId="20" fillId="13" borderId="4" xfId="0" applyFont="1" applyFill="1" applyBorder="1" applyAlignment="1">
      <alignment horizontal="center"/>
    </xf>
    <xf numFmtId="0" fontId="20" fillId="13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16" fillId="3" borderId="1" xfId="0" applyFont="1" applyFill="1" applyBorder="1"/>
    <xf numFmtId="0" fontId="1" fillId="3" borderId="2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3" xfId="0" applyFont="1" applyFill="1" applyBorder="1" applyAlignment="1">
      <alignment horizontal="right"/>
    </xf>
    <xf numFmtId="0" fontId="16" fillId="3" borderId="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3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16" borderId="2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/>
    </xf>
    <xf numFmtId="0" fontId="9" fillId="16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6" borderId="4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" fillId="14" borderId="2" xfId="0" applyFont="1" applyFill="1" applyBorder="1" applyAlignment="1">
      <alignment horizontal="left"/>
    </xf>
    <xf numFmtId="0" fontId="1" fillId="14" borderId="4" xfId="0" applyFont="1" applyFill="1" applyBorder="1" applyAlignment="1">
      <alignment horizontal="left"/>
    </xf>
    <xf numFmtId="0" fontId="1" fillId="14" borderId="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20" fillId="15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16" borderId="2" xfId="0" applyFont="1" applyFill="1" applyBorder="1" applyAlignment="1">
      <alignment horizontal="center"/>
    </xf>
    <xf numFmtId="0" fontId="15" fillId="16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7" borderId="0" xfId="0" applyFont="1" applyFill="1" applyAlignment="1">
      <alignment horizontal="center"/>
    </xf>
    <xf numFmtId="0" fontId="19" fillId="13" borderId="10" xfId="0" applyFont="1" applyFill="1" applyBorder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28" fillId="13" borderId="20" xfId="0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4">
    <dxf>
      <font>
        <b/>
        <i/>
        <u val="double"/>
      </font>
      <fill>
        <patternFill>
          <bgColor rgb="FFFFFF00"/>
        </patternFill>
      </fill>
    </dxf>
    <dxf>
      <font>
        <b/>
        <i/>
        <u val="double"/>
      </font>
      <fill>
        <patternFill>
          <bgColor rgb="FFFF0000"/>
        </patternFill>
      </fill>
    </dxf>
    <dxf>
      <font>
        <b/>
        <i/>
        <u val="double"/>
      </font>
      <fill>
        <patternFill>
          <bgColor rgb="FF92D050"/>
        </patternFill>
      </fill>
    </dxf>
    <dxf>
      <font>
        <b/>
        <i/>
        <u val="double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M. INVERSI&#211;N'!A1"/><Relationship Id="rId13" Type="http://schemas.openxmlformats.org/officeDocument/2006/relationships/hyperlink" Target="#'INDICADORES FINANCIEROS'!A1"/><Relationship Id="rId3" Type="http://schemas.openxmlformats.org/officeDocument/2006/relationships/hyperlink" Target="#'DATOS Y SUPUESTOS '!A1"/><Relationship Id="rId7" Type="http://schemas.openxmlformats.org/officeDocument/2006/relationships/hyperlink" Target="#'M. DE FINANCIAMIENTO'!A1"/><Relationship Id="rId12" Type="http://schemas.openxmlformats.org/officeDocument/2006/relationships/hyperlink" Target="#WAC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CAPITAL DE TRABAJO '!A1"/><Relationship Id="rId11" Type="http://schemas.openxmlformats.org/officeDocument/2006/relationships/hyperlink" Target="#'BALANCE GENRAL '!A1"/><Relationship Id="rId5" Type="http://schemas.openxmlformats.org/officeDocument/2006/relationships/hyperlink" Target="#'TABLA DE AMORTIZACI&#211;N '!A1"/><Relationship Id="rId10" Type="http://schemas.openxmlformats.org/officeDocument/2006/relationships/hyperlink" Target="#'ESTADO DE RESULTADO '!A1"/><Relationship Id="rId4" Type="http://schemas.openxmlformats.org/officeDocument/2006/relationships/hyperlink" Target="#'MATRIZ DE EGRESO '!A1"/><Relationship Id="rId9" Type="http://schemas.openxmlformats.org/officeDocument/2006/relationships/hyperlink" Target="#'FLUJO NETO DEL EFECTIVO '!A1"/><Relationship Id="rId14" Type="http://schemas.openxmlformats.org/officeDocument/2006/relationships/hyperlink" Target="#'INDICADORES ECONOMICOS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'M. INVERSI&#211;N'!A1"/><Relationship Id="rId13" Type="http://schemas.openxmlformats.org/officeDocument/2006/relationships/hyperlink" Target="#'INDICADORES FINANCIEROS'!A1"/><Relationship Id="rId3" Type="http://schemas.openxmlformats.org/officeDocument/2006/relationships/hyperlink" Target="#'MATRIZ DE EGRESO '!A1"/><Relationship Id="rId7" Type="http://schemas.openxmlformats.org/officeDocument/2006/relationships/hyperlink" Target="#'M. DE FINANCIAMIENTO'!A1"/><Relationship Id="rId12" Type="http://schemas.openxmlformats.org/officeDocument/2006/relationships/hyperlink" Target="#WAC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CAPITAL DE TRABAJO '!A1"/><Relationship Id="rId11" Type="http://schemas.openxmlformats.org/officeDocument/2006/relationships/hyperlink" Target="#'BALANCE GENRAL '!A1"/><Relationship Id="rId5" Type="http://schemas.openxmlformats.org/officeDocument/2006/relationships/hyperlink" Target="#'TABLA DE AMORTIZACI&#211;N '!A1"/><Relationship Id="rId10" Type="http://schemas.openxmlformats.org/officeDocument/2006/relationships/hyperlink" Target="#'ESTADO DE RESULTADO '!A1"/><Relationship Id="rId4" Type="http://schemas.openxmlformats.org/officeDocument/2006/relationships/hyperlink" Target="#'DATOS Y SUPUESTOS '!A1"/><Relationship Id="rId9" Type="http://schemas.openxmlformats.org/officeDocument/2006/relationships/hyperlink" Target="#'FLUJO NETO DEL EFECTIVO '!A1"/><Relationship Id="rId14" Type="http://schemas.openxmlformats.org/officeDocument/2006/relationships/hyperlink" Target="#'INDICADORES ECONOMICOS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FINANCIER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WAC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'BALANCE GENRAL '!A1"/><Relationship Id="rId5" Type="http://schemas.openxmlformats.org/officeDocument/2006/relationships/hyperlink" Target="#'M. CAPITAL DE TRABAJO '!A1"/><Relationship Id="rId10" Type="http://schemas.openxmlformats.org/officeDocument/2006/relationships/hyperlink" Target="#'ESTADO DE RESULTADO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DATOS Y SUPUESTOS '!A1"/><Relationship Id="rId14" Type="http://schemas.openxmlformats.org/officeDocument/2006/relationships/hyperlink" Target="#'INDICADORES ECONOMICOS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INDICADORES FINANCIEROS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DATOS Y SUPUESTOS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INDICADORES FINANCIEROS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DATOS Y SUPUESTOS '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'DATOS Y SUPUESTOS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INDICADORES FINANCIEROS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INDICADORES FINANCIEROS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'DATOS Y SUPUESTOS '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DATOS Y SUPUESTOS 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INDICADORES FINANCIEROS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DATOS Y SUPUESTOS 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M. INVERSI&#211;N'!A1"/><Relationship Id="rId13" Type="http://schemas.openxmlformats.org/officeDocument/2006/relationships/hyperlink" Target="#'INDICADORES FINANCIEROS'!A1"/><Relationship Id="rId3" Type="http://schemas.openxmlformats.org/officeDocument/2006/relationships/hyperlink" Target="#'ROL DE PAGOS '!A1"/><Relationship Id="rId7" Type="http://schemas.openxmlformats.org/officeDocument/2006/relationships/hyperlink" Target="#'M. DE FINANCIAMIENTO'!A1"/><Relationship Id="rId12" Type="http://schemas.openxmlformats.org/officeDocument/2006/relationships/hyperlink" Target="#WAC!A1"/><Relationship Id="rId2" Type="http://schemas.openxmlformats.org/officeDocument/2006/relationships/hyperlink" Target="#'DESCRIPCION DEL PRODUCTO'!A1"/><Relationship Id="rId1" Type="http://schemas.openxmlformats.org/officeDocument/2006/relationships/image" Target="../media/image1.jpeg"/><Relationship Id="rId6" Type="http://schemas.openxmlformats.org/officeDocument/2006/relationships/hyperlink" Target="#'M. CAPITAL DE TRABAJO '!A1"/><Relationship Id="rId11" Type="http://schemas.openxmlformats.org/officeDocument/2006/relationships/hyperlink" Target="#'BALANCE GENRAL '!A1"/><Relationship Id="rId5" Type="http://schemas.openxmlformats.org/officeDocument/2006/relationships/hyperlink" Target="#'TABLA DE AMORTIZACI&#211;N '!A1"/><Relationship Id="rId10" Type="http://schemas.openxmlformats.org/officeDocument/2006/relationships/hyperlink" Target="#'ESTADO DE RESULTADO '!A1"/><Relationship Id="rId4" Type="http://schemas.openxmlformats.org/officeDocument/2006/relationships/hyperlink" Target="#'MATRIZ DE EGRESO '!A1"/><Relationship Id="rId9" Type="http://schemas.openxmlformats.org/officeDocument/2006/relationships/hyperlink" Target="#'FLUJO NETO DEL EFECTIVO '!A1"/><Relationship Id="rId14" Type="http://schemas.openxmlformats.org/officeDocument/2006/relationships/hyperlink" Target="#'INDICADORES ECONOMICOS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M. DE FINANCIAMIENTO'!A1"/><Relationship Id="rId13" Type="http://schemas.openxmlformats.org/officeDocument/2006/relationships/hyperlink" Target="#WAC!A1"/><Relationship Id="rId3" Type="http://schemas.openxmlformats.org/officeDocument/2006/relationships/hyperlink" Target="#'DESCRIPCION DEL PRODUCTO'!A1"/><Relationship Id="rId7" Type="http://schemas.openxmlformats.org/officeDocument/2006/relationships/hyperlink" Target="#'M. CAPITAL DE TRABAJO '!A1"/><Relationship Id="rId12" Type="http://schemas.openxmlformats.org/officeDocument/2006/relationships/hyperlink" Target="#'BALANCE GENRAL '!A1"/><Relationship Id="rId2" Type="http://schemas.openxmlformats.org/officeDocument/2006/relationships/hyperlink" Target="PRESENTAR%20MODELOS_BRAVO_COFRE_REMACHE_SEGOVIA_SILVA..xlsx#'INDICADORES ECONOMICOS'!A1" TargetMode="External"/><Relationship Id="rId16" Type="http://schemas.openxmlformats.org/officeDocument/2006/relationships/hyperlink" Target="#'DATOS Y SUPUESTOS '!A1"/><Relationship Id="rId1" Type="http://schemas.openxmlformats.org/officeDocument/2006/relationships/hyperlink" Target="PRESENTAR%20MODELOS_BRAVO_COFRE_REMACHE_SEGOVIA_SILVA..xlsx#'INDICADORES FINANCIEROS'!A1" TargetMode="External"/><Relationship Id="rId6" Type="http://schemas.openxmlformats.org/officeDocument/2006/relationships/hyperlink" Target="#'TABLA DE AMORTIZACI&#211;N '!A1"/><Relationship Id="rId11" Type="http://schemas.openxmlformats.org/officeDocument/2006/relationships/hyperlink" Target="#'ESTADO DE RESULTADO '!A1"/><Relationship Id="rId5" Type="http://schemas.openxmlformats.org/officeDocument/2006/relationships/hyperlink" Target="#'MATRIZ DE EGRESO '!A1"/><Relationship Id="rId15" Type="http://schemas.openxmlformats.org/officeDocument/2006/relationships/hyperlink" Target="#'INDICADORES ECONOMICOS'!A1"/><Relationship Id="rId10" Type="http://schemas.openxmlformats.org/officeDocument/2006/relationships/hyperlink" Target="#'FLUJO NETO DEL EFECTIVO '!A1"/><Relationship Id="rId4" Type="http://schemas.openxmlformats.org/officeDocument/2006/relationships/hyperlink" Target="#'ROL DE PAGOS '!A1"/><Relationship Id="rId9" Type="http://schemas.openxmlformats.org/officeDocument/2006/relationships/hyperlink" Target="#'M. INVERSI&#211;N'!A1"/><Relationship Id="rId14" Type="http://schemas.openxmlformats.org/officeDocument/2006/relationships/hyperlink" Target="#'INDICADORES FINANCIEROS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'INDICADORES FINANCIEROS'!A1"/><Relationship Id="rId2" Type="http://schemas.openxmlformats.org/officeDocument/2006/relationships/hyperlink" Target="#'DATOS Y SUPUEST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M. DE FINANCIAMIENTO'!A1"/><Relationship Id="rId13" Type="http://schemas.openxmlformats.org/officeDocument/2006/relationships/hyperlink" Target="#WAC!A1"/><Relationship Id="rId3" Type="http://schemas.openxmlformats.org/officeDocument/2006/relationships/hyperlink" Target="#'DESCRIPCION DEL PRODUCTO'!A1"/><Relationship Id="rId7" Type="http://schemas.openxmlformats.org/officeDocument/2006/relationships/hyperlink" Target="#'DATOS Y SUPUESTOS '!A1"/><Relationship Id="rId12" Type="http://schemas.openxmlformats.org/officeDocument/2006/relationships/hyperlink" Target="#'BALANCE GENRAL '!A1"/><Relationship Id="rId2" Type="http://schemas.openxmlformats.org/officeDocument/2006/relationships/hyperlink" Target="MODELOS%20DE%20SIMULACI&#211;N%20PROYECTO.xlsx#'M. INVERSI&#211;N'!A1" TargetMode="External"/><Relationship Id="rId1" Type="http://schemas.openxmlformats.org/officeDocument/2006/relationships/hyperlink" Target="MODELOS%20DE%20SIMULACI&#211;N%20PROYECTO.xlsx#'DATOS Y SUPUESTOS '!A1" TargetMode="External"/><Relationship Id="rId6" Type="http://schemas.openxmlformats.org/officeDocument/2006/relationships/hyperlink" Target="#'TABLA DE AMORTIZACI&#211;N '!A1"/><Relationship Id="rId11" Type="http://schemas.openxmlformats.org/officeDocument/2006/relationships/hyperlink" Target="#'ESTADO DE RESULTADO '!A1"/><Relationship Id="rId5" Type="http://schemas.openxmlformats.org/officeDocument/2006/relationships/hyperlink" Target="#'MATRIZ DE EGRESO '!A1"/><Relationship Id="rId15" Type="http://schemas.openxmlformats.org/officeDocument/2006/relationships/hyperlink" Target="#'INDICADORES ECONOMICOS'!A1"/><Relationship Id="rId10" Type="http://schemas.openxmlformats.org/officeDocument/2006/relationships/hyperlink" Target="#'FLUJO NETO DEL EFECTIVO '!A1"/><Relationship Id="rId4" Type="http://schemas.openxmlformats.org/officeDocument/2006/relationships/hyperlink" Target="#'ROL DE PAGOS '!A1"/><Relationship Id="rId9" Type="http://schemas.openxmlformats.org/officeDocument/2006/relationships/hyperlink" Target="#'M. INVERSI&#211;N'!A1"/><Relationship Id="rId14" Type="http://schemas.openxmlformats.org/officeDocument/2006/relationships/hyperlink" Target="#'INDICADORES FINANCIEROS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ECONOMICOS'!A1"/><Relationship Id="rId3" Type="http://schemas.openxmlformats.org/officeDocument/2006/relationships/hyperlink" Target="#'MATRIZ DE EGRESO '!A1"/><Relationship Id="rId7" Type="http://schemas.openxmlformats.org/officeDocument/2006/relationships/hyperlink" Target="#'DATOS Y SUPUESTOS '!A1"/><Relationship Id="rId12" Type="http://schemas.openxmlformats.org/officeDocument/2006/relationships/hyperlink" Target="#'INDICADORES FINANCIEROS'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WAC!A1"/><Relationship Id="rId5" Type="http://schemas.openxmlformats.org/officeDocument/2006/relationships/hyperlink" Target="#'M. CAPITAL DE TRABAJO '!A1"/><Relationship Id="rId10" Type="http://schemas.openxmlformats.org/officeDocument/2006/relationships/hyperlink" Target="#'BALANCE GENRAL '!A1"/><Relationship Id="rId4" Type="http://schemas.openxmlformats.org/officeDocument/2006/relationships/hyperlink" Target="#'TABLA DE AMORTIZACI&#211;N '!A1"/><Relationship Id="rId9" Type="http://schemas.openxmlformats.org/officeDocument/2006/relationships/hyperlink" Target="#'ESTADO DE RESULTADO 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DATOS Y SUPUESTOS '!A1"/><Relationship Id="rId13" Type="http://schemas.openxmlformats.org/officeDocument/2006/relationships/hyperlink" Target="#WAC!A1"/><Relationship Id="rId3" Type="http://schemas.openxmlformats.org/officeDocument/2006/relationships/hyperlink" Target="#'DESCRIPCION DEL PRODUCTO'!A1"/><Relationship Id="rId7" Type="http://schemas.openxmlformats.org/officeDocument/2006/relationships/hyperlink" Target="#'M. CAPITAL DE TRABAJO '!A1"/><Relationship Id="rId12" Type="http://schemas.openxmlformats.org/officeDocument/2006/relationships/hyperlink" Target="#'BALANCE GENRAL '!A1"/><Relationship Id="rId2" Type="http://schemas.openxmlformats.org/officeDocument/2006/relationships/hyperlink" Target="MODELOS%20DE%20SIMULACI&#211;N%20PROYECTO.xlsx#'M. INVERSI&#211;N'!A1" TargetMode="External"/><Relationship Id="rId1" Type="http://schemas.openxmlformats.org/officeDocument/2006/relationships/hyperlink" Target="MODELOS%20DE%20SIMULACI&#211;N%20PROYECTO.xlsx#'DATOS Y SUPUESTOS '!A1" TargetMode="External"/><Relationship Id="rId6" Type="http://schemas.openxmlformats.org/officeDocument/2006/relationships/hyperlink" Target="#'TABLA DE AMORTIZACI&#211;N '!A1"/><Relationship Id="rId11" Type="http://schemas.openxmlformats.org/officeDocument/2006/relationships/hyperlink" Target="#'ESTADO DE RESULTADO '!A1"/><Relationship Id="rId5" Type="http://schemas.openxmlformats.org/officeDocument/2006/relationships/hyperlink" Target="#'MATRIZ DE EGRESO '!A1"/><Relationship Id="rId15" Type="http://schemas.openxmlformats.org/officeDocument/2006/relationships/hyperlink" Target="#'INDICADORES ECONOMICOS'!A1"/><Relationship Id="rId10" Type="http://schemas.openxmlformats.org/officeDocument/2006/relationships/hyperlink" Target="#'FLUJO NETO DEL EFECTIVO '!A1"/><Relationship Id="rId4" Type="http://schemas.openxmlformats.org/officeDocument/2006/relationships/hyperlink" Target="#'ROL DE PAGOS '!A1"/><Relationship Id="rId9" Type="http://schemas.openxmlformats.org/officeDocument/2006/relationships/hyperlink" Target="#'M. INVERSI&#211;N'!A1"/><Relationship Id="rId14" Type="http://schemas.openxmlformats.org/officeDocument/2006/relationships/hyperlink" Target="#'INDICADORES FINANCIEROS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FLUJO NETO DEL EFECTIVO '!A1"/><Relationship Id="rId13" Type="http://schemas.openxmlformats.org/officeDocument/2006/relationships/hyperlink" Target="#'INDICADORES FINANCIEROS'!A1"/><Relationship Id="rId3" Type="http://schemas.openxmlformats.org/officeDocument/2006/relationships/hyperlink" Target="#'MATRIZ DE EGRESO '!A1"/><Relationship Id="rId7" Type="http://schemas.openxmlformats.org/officeDocument/2006/relationships/hyperlink" Target="#'M. INVERSI&#211;N'!A1"/><Relationship Id="rId12" Type="http://schemas.openxmlformats.org/officeDocument/2006/relationships/hyperlink" Target="#WAC!A1"/><Relationship Id="rId2" Type="http://schemas.openxmlformats.org/officeDocument/2006/relationships/hyperlink" Target="#'ROL DE PAGOS '!A1"/><Relationship Id="rId1" Type="http://schemas.openxmlformats.org/officeDocument/2006/relationships/hyperlink" Target="#'DESCRIPCION DEL PRODUCTO'!A1"/><Relationship Id="rId6" Type="http://schemas.openxmlformats.org/officeDocument/2006/relationships/hyperlink" Target="#'M. DE FINANCIAMIENTO'!A1"/><Relationship Id="rId11" Type="http://schemas.openxmlformats.org/officeDocument/2006/relationships/hyperlink" Target="#'BALANCE GENRAL '!A1"/><Relationship Id="rId5" Type="http://schemas.openxmlformats.org/officeDocument/2006/relationships/hyperlink" Target="#'M. CAPITAL DE TRABAJO '!A1"/><Relationship Id="rId10" Type="http://schemas.openxmlformats.org/officeDocument/2006/relationships/hyperlink" Target="#'ESTADO DE RESULTADO '!A1"/><Relationship Id="rId4" Type="http://schemas.openxmlformats.org/officeDocument/2006/relationships/hyperlink" Target="#'DATOS Y SUPUESTOS '!A1"/><Relationship Id="rId9" Type="http://schemas.openxmlformats.org/officeDocument/2006/relationships/hyperlink" Target="#'TABLA DE AMORTIZACI&#211;N '!A1"/><Relationship Id="rId14" Type="http://schemas.openxmlformats.org/officeDocument/2006/relationships/hyperlink" Target="#'INDICADORES ECONOMIC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377139</xdr:colOff>
      <xdr:row>20</xdr:row>
      <xdr:rowOff>150903</xdr:rowOff>
    </xdr:from>
    <xdr:to>
      <xdr:col>6</xdr:col>
      <xdr:colOff>432954</xdr:colOff>
      <xdr:row>27</xdr:row>
      <xdr:rowOff>118500</xdr:rowOff>
    </xdr:to>
    <xdr:sp macro="" textlink="">
      <xdr:nvSpPr>
        <xdr:cNvPr id="3" name="Pentágono 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77139" y="3960903"/>
          <a:ext cx="4913565" cy="1301097"/>
        </a:xfrm>
        <a:prstGeom prst="homePlate">
          <a:avLst/>
        </a:prstGeom>
        <a:ln w="28575">
          <a:solidFill>
            <a:sysClr val="windowText" lastClr="000000"/>
          </a:solidFill>
          <a:prstDash val="dashDot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EC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EC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EC" sz="1100" i="1">
              <a:latin typeface="Times New Roman" panose="02020603050405020304" pitchFamily="18" charset="0"/>
              <a:cs typeface="Times New Roman" panose="02020603050405020304" pitchFamily="18" charset="0"/>
            </a:rPr>
            <a:t>"Producir y comercializar té de valeriana embotellada</a:t>
          </a:r>
          <a:r>
            <a:rPr lang="es-EC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a</a:t>
          </a:r>
          <a:r>
            <a:rPr lang="es-EC" sz="1100" i="1">
              <a:latin typeface="Times New Roman" panose="02020603050405020304" pitchFamily="18" charset="0"/>
              <a:cs typeface="Times New Roman" panose="02020603050405020304" pitchFamily="18" charset="0"/>
            </a:rPr>
            <a:t> base de esencias naturales combinados con stevia, aplicando procesos de calidad que garanticen la salud de nuestros clientes"</a:t>
          </a:r>
        </a:p>
        <a:p>
          <a:pPr algn="ctr"/>
          <a:endParaRPr lang="es-EC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405714</xdr:colOff>
      <xdr:row>31</xdr:row>
      <xdr:rowOff>191061</xdr:rowOff>
    </xdr:from>
    <xdr:to>
      <xdr:col>6</xdr:col>
      <xdr:colOff>461529</xdr:colOff>
      <xdr:row>38</xdr:row>
      <xdr:rowOff>172011</xdr:rowOff>
    </xdr:to>
    <xdr:sp macro="" textlink="">
      <xdr:nvSpPr>
        <xdr:cNvPr id="4" name="Pentágono 9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05714" y="6096561"/>
          <a:ext cx="4913565" cy="1314450"/>
        </a:xfrm>
        <a:prstGeom prst="homePlate">
          <a:avLst/>
        </a:prstGeom>
        <a:ln w="28575">
          <a:solidFill>
            <a:sysClr val="windowText" lastClr="000000"/>
          </a:solidFill>
          <a:prstDash val="dashDot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EC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EC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EC" sz="1100" i="1">
              <a:latin typeface="Times New Roman" panose="02020603050405020304" pitchFamily="18" charset="0"/>
              <a:cs typeface="Times New Roman" panose="02020603050405020304" pitchFamily="18" charset="0"/>
            </a:rPr>
            <a:t>"Al 2018 expandir la empresa a nivel nacional ganando participación en el mercado y reconocimiento, garantizando la salud de nuestros clientes para mejorar su calidad de vida."</a:t>
          </a:r>
        </a:p>
        <a:p>
          <a:pPr algn="ctr"/>
          <a:endParaRPr lang="es-EC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377139</xdr:colOff>
      <xdr:row>18</xdr:row>
      <xdr:rowOff>55653</xdr:rowOff>
    </xdr:from>
    <xdr:to>
      <xdr:col>1</xdr:col>
      <xdr:colOff>817503</xdr:colOff>
      <xdr:row>19</xdr:row>
      <xdr:rowOff>150903</xdr:rowOff>
    </xdr:to>
    <xdr:sp macro="" textlink="">
      <xdr:nvSpPr>
        <xdr:cNvPr id="5" name="Rectángulo 10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77139" y="3484653"/>
          <a:ext cx="1240464" cy="28575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C" sz="1100">
              <a:latin typeface="Arial Black" panose="020B0A04020102020204" pitchFamily="34" charset="0"/>
            </a:rPr>
            <a:t>MISIÓN</a:t>
          </a:r>
        </a:p>
      </xdr:txBody>
    </xdr:sp>
    <xdr:clientData/>
  </xdr:twoCellAnchor>
  <xdr:twoCellAnchor>
    <xdr:from>
      <xdr:col>0</xdr:col>
      <xdr:colOff>396189</xdr:colOff>
      <xdr:row>29</xdr:row>
      <xdr:rowOff>19916</xdr:rowOff>
    </xdr:from>
    <xdr:to>
      <xdr:col>2</xdr:col>
      <xdr:colOff>13940</xdr:colOff>
      <xdr:row>30</xdr:row>
      <xdr:rowOff>119497</xdr:rowOff>
    </xdr:to>
    <xdr:sp macro="" textlink="">
      <xdr:nvSpPr>
        <xdr:cNvPr id="6" name="Rectángulo 1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96189" y="5544416"/>
          <a:ext cx="1237001" cy="290081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C" sz="1100">
              <a:latin typeface="Arial Black" panose="020B0A04020102020204" pitchFamily="34" charset="0"/>
            </a:rPr>
            <a:t>VISIÓN </a:t>
          </a:r>
        </a:p>
      </xdr:txBody>
    </xdr:sp>
    <xdr:clientData/>
  </xdr:twoCellAnchor>
  <xdr:twoCellAnchor editAs="oneCell">
    <xdr:from>
      <xdr:col>0</xdr:col>
      <xdr:colOff>751974</xdr:colOff>
      <xdr:row>2</xdr:row>
      <xdr:rowOff>89297</xdr:rowOff>
    </xdr:from>
    <xdr:to>
      <xdr:col>6</xdr:col>
      <xdr:colOff>28408</xdr:colOff>
      <xdr:row>15</xdr:row>
      <xdr:rowOff>136922</xdr:rowOff>
    </xdr:to>
    <xdr:pic>
      <xdr:nvPicPr>
        <xdr:cNvPr id="9" name="Imagen 8" descr="https://scontent.fuio1-1.fna.fbcdn.net/v/t34.0-12/15281057_1019875211492028_1173339558_n.jpg?oh=11e701416774a1e4698c903fa2ff7866&amp;oe=58427371">
          <a:extLst>
            <a:ext uri="{FF2B5EF4-FFF2-40B4-BE49-F238E27FC236}">
              <a16:creationId xmlns:a16="http://schemas.microsoft.com/office/drawing/2014/main" xmlns="" id="{6EDACC09-ACE6-4485-9B6C-0220EE6A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974" y="466328"/>
          <a:ext cx="4157997" cy="249832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9</xdr:col>
      <xdr:colOff>276225</xdr:colOff>
      <xdr:row>5</xdr:row>
      <xdr:rowOff>28575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258175" y="3810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8</xdr:col>
      <xdr:colOff>38100</xdr:colOff>
      <xdr:row>5</xdr:row>
      <xdr:rowOff>95250</xdr:rowOff>
    </xdr:from>
    <xdr:to>
      <xdr:col>9</xdr:col>
      <xdr:colOff>314325</xdr:colOff>
      <xdr:row>7</xdr:row>
      <xdr:rowOff>180975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8296275" y="1047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9</xdr:col>
      <xdr:colOff>466725</xdr:colOff>
      <xdr:row>8</xdr:row>
      <xdr:rowOff>85725</xdr:rowOff>
    </xdr:from>
    <xdr:to>
      <xdr:col>10</xdr:col>
      <xdr:colOff>742950</xdr:colOff>
      <xdr:row>10</xdr:row>
      <xdr:rowOff>190500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9486900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 </a:t>
          </a:r>
        </a:p>
      </xdr:txBody>
    </xdr:sp>
    <xdr:clientData/>
  </xdr:twoCellAnchor>
  <xdr:twoCellAnchor>
    <xdr:from>
      <xdr:col>8</xdr:col>
      <xdr:colOff>28575</xdr:colOff>
      <xdr:row>14</xdr:row>
      <xdr:rowOff>19050</xdr:rowOff>
    </xdr:from>
    <xdr:to>
      <xdr:col>9</xdr:col>
      <xdr:colOff>304800</xdr:colOff>
      <xdr:row>16</xdr:row>
      <xdr:rowOff>123825</xdr:rowOff>
    </xdr:to>
    <xdr:sp macro="" textlink="">
      <xdr:nvSpPr>
        <xdr:cNvPr id="35" name="34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8286750" y="2752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8</xdr:col>
      <xdr:colOff>38100</xdr:colOff>
      <xdr:row>11</xdr:row>
      <xdr:rowOff>9525</xdr:rowOff>
    </xdr:from>
    <xdr:to>
      <xdr:col>9</xdr:col>
      <xdr:colOff>314325</xdr:colOff>
      <xdr:row>13</xdr:row>
      <xdr:rowOff>114300</xdr:rowOff>
    </xdr:to>
    <xdr:sp macro="" textlink="">
      <xdr:nvSpPr>
        <xdr:cNvPr id="36" name="35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8296275" y="2171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9</xdr:col>
      <xdr:colOff>447675</xdr:colOff>
      <xdr:row>5</xdr:row>
      <xdr:rowOff>133350</xdr:rowOff>
    </xdr:from>
    <xdr:to>
      <xdr:col>10</xdr:col>
      <xdr:colOff>723900</xdr:colOff>
      <xdr:row>8</xdr:row>
      <xdr:rowOff>19050</xdr:rowOff>
    </xdr:to>
    <xdr:sp macro="" textlink="">
      <xdr:nvSpPr>
        <xdr:cNvPr id="37" name="36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9467850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8</xdr:col>
      <xdr:colOff>47625</xdr:colOff>
      <xdr:row>8</xdr:row>
      <xdr:rowOff>47625</xdr:rowOff>
    </xdr:from>
    <xdr:to>
      <xdr:col>9</xdr:col>
      <xdr:colOff>323850</xdr:colOff>
      <xdr:row>10</xdr:row>
      <xdr:rowOff>152400</xdr:rowOff>
    </xdr:to>
    <xdr:sp macro="" textlink="">
      <xdr:nvSpPr>
        <xdr:cNvPr id="38" name="37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8305800" y="1600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9</xdr:col>
      <xdr:colOff>409575</xdr:colOff>
      <xdr:row>2</xdr:row>
      <xdr:rowOff>114300</xdr:rowOff>
    </xdr:from>
    <xdr:to>
      <xdr:col>10</xdr:col>
      <xdr:colOff>685800</xdr:colOff>
      <xdr:row>5</xdr:row>
      <xdr:rowOff>28575</xdr:rowOff>
    </xdr:to>
    <xdr:sp macro="" textlink="">
      <xdr:nvSpPr>
        <xdr:cNvPr id="39" name="38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9429750" y="495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8</xdr:col>
      <xdr:colOff>28575</xdr:colOff>
      <xdr:row>17</xdr:row>
      <xdr:rowOff>28575</xdr:rowOff>
    </xdr:from>
    <xdr:to>
      <xdr:col>9</xdr:col>
      <xdr:colOff>304800</xdr:colOff>
      <xdr:row>19</xdr:row>
      <xdr:rowOff>133350</xdr:rowOff>
    </xdr:to>
    <xdr:sp macro="" textlink="">
      <xdr:nvSpPr>
        <xdr:cNvPr id="40" name="39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8286750" y="3333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9</xdr:col>
      <xdr:colOff>419102</xdr:colOff>
      <xdr:row>13</xdr:row>
      <xdr:rowOff>161926</xdr:rowOff>
    </xdr:from>
    <xdr:to>
      <xdr:col>10</xdr:col>
      <xdr:colOff>752476</xdr:colOff>
      <xdr:row>16</xdr:row>
      <xdr:rowOff>123826</xdr:rowOff>
    </xdr:to>
    <xdr:sp macro="" textlink="">
      <xdr:nvSpPr>
        <xdr:cNvPr id="41" name="40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9439277" y="27051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8</xdr:col>
      <xdr:colOff>28575</xdr:colOff>
      <xdr:row>20</xdr:row>
      <xdr:rowOff>28575</xdr:rowOff>
    </xdr:from>
    <xdr:to>
      <xdr:col>9</xdr:col>
      <xdr:colOff>304800</xdr:colOff>
      <xdr:row>22</xdr:row>
      <xdr:rowOff>133350</xdr:rowOff>
    </xdr:to>
    <xdr:sp macro="" textlink="">
      <xdr:nvSpPr>
        <xdr:cNvPr id="42" name="41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8286750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9</xdr:col>
      <xdr:colOff>466725</xdr:colOff>
      <xdr:row>11</xdr:row>
      <xdr:rowOff>19050</xdr:rowOff>
    </xdr:from>
    <xdr:to>
      <xdr:col>10</xdr:col>
      <xdr:colOff>742950</xdr:colOff>
      <xdr:row>13</xdr:row>
      <xdr:rowOff>123825</xdr:rowOff>
    </xdr:to>
    <xdr:sp macro="" textlink="">
      <xdr:nvSpPr>
        <xdr:cNvPr id="43" name="42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9486900" y="2181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9</xdr:col>
      <xdr:colOff>504826</xdr:colOff>
      <xdr:row>16</xdr:row>
      <xdr:rowOff>161925</xdr:rowOff>
    </xdr:from>
    <xdr:to>
      <xdr:col>10</xdr:col>
      <xdr:colOff>742952</xdr:colOff>
      <xdr:row>19</xdr:row>
      <xdr:rowOff>76200</xdr:rowOff>
    </xdr:to>
    <xdr:sp macro="" textlink="">
      <xdr:nvSpPr>
        <xdr:cNvPr id="44" name="43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9525001" y="32766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9</xdr:col>
      <xdr:colOff>476250</xdr:colOff>
      <xdr:row>20</xdr:row>
      <xdr:rowOff>9525</xdr:rowOff>
    </xdr:from>
    <xdr:to>
      <xdr:col>10</xdr:col>
      <xdr:colOff>752475</xdr:colOff>
      <xdr:row>22</xdr:row>
      <xdr:rowOff>114300</xdr:rowOff>
    </xdr:to>
    <xdr:sp macro="" textlink="">
      <xdr:nvSpPr>
        <xdr:cNvPr id="45" name="44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9496425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8</xdr:col>
      <xdr:colOff>19050</xdr:colOff>
      <xdr:row>23</xdr:row>
      <xdr:rowOff>28575</xdr:rowOff>
    </xdr:from>
    <xdr:to>
      <xdr:col>9</xdr:col>
      <xdr:colOff>295275</xdr:colOff>
      <xdr:row>25</xdr:row>
      <xdr:rowOff>133350</xdr:rowOff>
    </xdr:to>
    <xdr:sp macro="" textlink="">
      <xdr:nvSpPr>
        <xdr:cNvPr id="46" name="45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8277225" y="4476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276225</xdr:colOff>
      <xdr:row>4</xdr:row>
      <xdr:rowOff>142875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6534150" y="3810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6</xdr:col>
      <xdr:colOff>38100</xdr:colOff>
      <xdr:row>5</xdr:row>
      <xdr:rowOff>9525</xdr:rowOff>
    </xdr:from>
    <xdr:to>
      <xdr:col>7</xdr:col>
      <xdr:colOff>314325</xdr:colOff>
      <xdr:row>7</xdr:row>
      <xdr:rowOff>114300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6572250" y="1047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7</xdr:col>
      <xdr:colOff>466725</xdr:colOff>
      <xdr:row>8</xdr:row>
      <xdr:rowOff>28575</xdr:rowOff>
    </xdr:from>
    <xdr:to>
      <xdr:col>8</xdr:col>
      <xdr:colOff>742950</xdr:colOff>
      <xdr:row>10</xdr:row>
      <xdr:rowOff>133350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7762875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6</xdr:col>
      <xdr:colOff>28575</xdr:colOff>
      <xdr:row>14</xdr:row>
      <xdr:rowOff>0</xdr:rowOff>
    </xdr:from>
    <xdr:to>
      <xdr:col>7</xdr:col>
      <xdr:colOff>304800</xdr:colOff>
      <xdr:row>16</xdr:row>
      <xdr:rowOff>104775</xdr:rowOff>
    </xdr:to>
    <xdr:sp macro="" textlink="">
      <xdr:nvSpPr>
        <xdr:cNvPr id="35" name="34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6562725" y="2752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 </a:t>
          </a:r>
        </a:p>
      </xdr:txBody>
    </xdr:sp>
    <xdr:clientData/>
  </xdr:twoCellAnchor>
  <xdr:twoCellAnchor>
    <xdr:from>
      <xdr:col>6</xdr:col>
      <xdr:colOff>38100</xdr:colOff>
      <xdr:row>10</xdr:row>
      <xdr:rowOff>180975</xdr:rowOff>
    </xdr:from>
    <xdr:to>
      <xdr:col>7</xdr:col>
      <xdr:colOff>314325</xdr:colOff>
      <xdr:row>13</xdr:row>
      <xdr:rowOff>95250</xdr:rowOff>
    </xdr:to>
    <xdr:sp macro="" textlink="">
      <xdr:nvSpPr>
        <xdr:cNvPr id="36" name="35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6572250" y="2171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7</xdr:col>
      <xdr:colOff>447675</xdr:colOff>
      <xdr:row>5</xdr:row>
      <xdr:rowOff>47625</xdr:rowOff>
    </xdr:from>
    <xdr:to>
      <xdr:col>8</xdr:col>
      <xdr:colOff>723900</xdr:colOff>
      <xdr:row>7</xdr:row>
      <xdr:rowOff>152400</xdr:rowOff>
    </xdr:to>
    <xdr:sp macro="" textlink="">
      <xdr:nvSpPr>
        <xdr:cNvPr id="37" name="36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7743825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6</xdr:col>
      <xdr:colOff>47625</xdr:colOff>
      <xdr:row>7</xdr:row>
      <xdr:rowOff>180975</xdr:rowOff>
    </xdr:from>
    <xdr:to>
      <xdr:col>7</xdr:col>
      <xdr:colOff>323850</xdr:colOff>
      <xdr:row>10</xdr:row>
      <xdr:rowOff>95250</xdr:rowOff>
    </xdr:to>
    <xdr:sp macro="" textlink="">
      <xdr:nvSpPr>
        <xdr:cNvPr id="38" name="37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6581775" y="1600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7</xdr:col>
      <xdr:colOff>409575</xdr:colOff>
      <xdr:row>2</xdr:row>
      <xdr:rowOff>114300</xdr:rowOff>
    </xdr:from>
    <xdr:to>
      <xdr:col>8</xdr:col>
      <xdr:colOff>685800</xdr:colOff>
      <xdr:row>4</xdr:row>
      <xdr:rowOff>142875</xdr:rowOff>
    </xdr:to>
    <xdr:sp macro="" textlink="">
      <xdr:nvSpPr>
        <xdr:cNvPr id="39" name="38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7705725" y="495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6</xdr:col>
      <xdr:colOff>28575</xdr:colOff>
      <xdr:row>17</xdr:row>
      <xdr:rowOff>9525</xdr:rowOff>
    </xdr:from>
    <xdr:to>
      <xdr:col>7</xdr:col>
      <xdr:colOff>304800</xdr:colOff>
      <xdr:row>19</xdr:row>
      <xdr:rowOff>114300</xdr:rowOff>
    </xdr:to>
    <xdr:sp macro="" textlink="">
      <xdr:nvSpPr>
        <xdr:cNvPr id="40" name="39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6562725" y="3333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7</xdr:col>
      <xdr:colOff>419102</xdr:colOff>
      <xdr:row>13</xdr:row>
      <xdr:rowOff>142876</xdr:rowOff>
    </xdr:from>
    <xdr:to>
      <xdr:col>8</xdr:col>
      <xdr:colOff>752476</xdr:colOff>
      <xdr:row>16</xdr:row>
      <xdr:rowOff>104776</xdr:rowOff>
    </xdr:to>
    <xdr:sp macro="" textlink="">
      <xdr:nvSpPr>
        <xdr:cNvPr id="41" name="40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7715252" y="27051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6</xdr:col>
      <xdr:colOff>28575</xdr:colOff>
      <xdr:row>20</xdr:row>
      <xdr:rowOff>9525</xdr:rowOff>
    </xdr:from>
    <xdr:to>
      <xdr:col>7</xdr:col>
      <xdr:colOff>304800</xdr:colOff>
      <xdr:row>22</xdr:row>
      <xdr:rowOff>114300</xdr:rowOff>
    </xdr:to>
    <xdr:sp macro="" textlink="">
      <xdr:nvSpPr>
        <xdr:cNvPr id="42" name="41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6562725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7</xdr:col>
      <xdr:colOff>466725</xdr:colOff>
      <xdr:row>11</xdr:row>
      <xdr:rowOff>0</xdr:rowOff>
    </xdr:from>
    <xdr:to>
      <xdr:col>8</xdr:col>
      <xdr:colOff>742950</xdr:colOff>
      <xdr:row>13</xdr:row>
      <xdr:rowOff>104775</xdr:rowOff>
    </xdr:to>
    <xdr:sp macro="" textlink="">
      <xdr:nvSpPr>
        <xdr:cNvPr id="43" name="42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7762875" y="2181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7</xdr:col>
      <xdr:colOff>504826</xdr:colOff>
      <xdr:row>16</xdr:row>
      <xdr:rowOff>142875</xdr:rowOff>
    </xdr:from>
    <xdr:to>
      <xdr:col>8</xdr:col>
      <xdr:colOff>742952</xdr:colOff>
      <xdr:row>19</xdr:row>
      <xdr:rowOff>57150</xdr:rowOff>
    </xdr:to>
    <xdr:sp macro="" textlink="">
      <xdr:nvSpPr>
        <xdr:cNvPr id="44" name="43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7800976" y="32766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7</xdr:col>
      <xdr:colOff>476250</xdr:colOff>
      <xdr:row>19</xdr:row>
      <xdr:rowOff>180975</xdr:rowOff>
    </xdr:from>
    <xdr:to>
      <xdr:col>8</xdr:col>
      <xdr:colOff>752475</xdr:colOff>
      <xdr:row>22</xdr:row>
      <xdr:rowOff>95250</xdr:rowOff>
    </xdr:to>
    <xdr:sp macro="" textlink="">
      <xdr:nvSpPr>
        <xdr:cNvPr id="45" name="44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7772400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6</xdr:col>
      <xdr:colOff>19050</xdr:colOff>
      <xdr:row>23</xdr:row>
      <xdr:rowOff>9525</xdr:rowOff>
    </xdr:from>
    <xdr:to>
      <xdr:col>7</xdr:col>
      <xdr:colOff>295275</xdr:colOff>
      <xdr:row>25</xdr:row>
      <xdr:rowOff>114300</xdr:rowOff>
    </xdr:to>
    <xdr:sp macro="" textlink="">
      <xdr:nvSpPr>
        <xdr:cNvPr id="46" name="45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6553200" y="4476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8</xdr:col>
      <xdr:colOff>276225</xdr:colOff>
      <xdr:row>4</xdr:row>
      <xdr:rowOff>180975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7905750" y="40005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7</xdr:col>
      <xdr:colOff>38100</xdr:colOff>
      <xdr:row>4</xdr:row>
      <xdr:rowOff>247650</xdr:rowOff>
    </xdr:from>
    <xdr:to>
      <xdr:col>8</xdr:col>
      <xdr:colOff>314325</xdr:colOff>
      <xdr:row>6</xdr:row>
      <xdr:rowOff>161925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7943850" y="1066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8</xdr:col>
      <xdr:colOff>466725</xdr:colOff>
      <xdr:row>7</xdr:row>
      <xdr:rowOff>76200</xdr:rowOff>
    </xdr:from>
    <xdr:to>
      <xdr:col>9</xdr:col>
      <xdr:colOff>742950</xdr:colOff>
      <xdr:row>9</xdr:row>
      <xdr:rowOff>180975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9134475" y="16573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7</xdr:col>
      <xdr:colOff>28575</xdr:colOff>
      <xdr:row>13</xdr:row>
      <xdr:rowOff>47625</xdr:rowOff>
    </xdr:from>
    <xdr:to>
      <xdr:col>8</xdr:col>
      <xdr:colOff>304800</xdr:colOff>
      <xdr:row>15</xdr:row>
      <xdr:rowOff>152400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7934325" y="27717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7</xdr:col>
      <xdr:colOff>38100</xdr:colOff>
      <xdr:row>10</xdr:row>
      <xdr:rowOff>38100</xdr:rowOff>
    </xdr:from>
    <xdr:to>
      <xdr:col>8</xdr:col>
      <xdr:colOff>314325</xdr:colOff>
      <xdr:row>12</xdr:row>
      <xdr:rowOff>142875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7943850" y="2190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8</xdr:col>
      <xdr:colOff>447675</xdr:colOff>
      <xdr:row>4</xdr:row>
      <xdr:rowOff>285750</xdr:rowOff>
    </xdr:from>
    <xdr:to>
      <xdr:col>9</xdr:col>
      <xdr:colOff>723900</xdr:colOff>
      <xdr:row>7</xdr:row>
      <xdr:rowOff>9525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9115425" y="11049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7</xdr:col>
      <xdr:colOff>47625</xdr:colOff>
      <xdr:row>7</xdr:row>
      <xdr:rowOff>38100</xdr:rowOff>
    </xdr:from>
    <xdr:to>
      <xdr:col>8</xdr:col>
      <xdr:colOff>323850</xdr:colOff>
      <xdr:row>9</xdr:row>
      <xdr:rowOff>142875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7953375" y="1619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8</xdr:col>
      <xdr:colOff>409575</xdr:colOff>
      <xdr:row>2</xdr:row>
      <xdr:rowOff>114300</xdr:rowOff>
    </xdr:from>
    <xdr:to>
      <xdr:col>9</xdr:col>
      <xdr:colOff>685800</xdr:colOff>
      <xdr:row>4</xdr:row>
      <xdr:rowOff>180975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9077325" y="5143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7</xdr:col>
      <xdr:colOff>28575</xdr:colOff>
      <xdr:row>16</xdr:row>
      <xdr:rowOff>57150</xdr:rowOff>
    </xdr:from>
    <xdr:to>
      <xdr:col>8</xdr:col>
      <xdr:colOff>304800</xdr:colOff>
      <xdr:row>18</xdr:row>
      <xdr:rowOff>161925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7934325" y="3352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8</xdr:col>
      <xdr:colOff>419102</xdr:colOff>
      <xdr:row>13</xdr:row>
      <xdr:rowOff>1</xdr:rowOff>
    </xdr:from>
    <xdr:to>
      <xdr:col>9</xdr:col>
      <xdr:colOff>752476</xdr:colOff>
      <xdr:row>15</xdr:row>
      <xdr:rowOff>152401</xdr:rowOff>
    </xdr:to>
    <xdr:sp macro="" textlink="">
      <xdr:nvSpPr>
        <xdr:cNvPr id="41" name="40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9086852" y="272415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DATOS</a:t>
          </a:r>
          <a:r>
            <a:rPr lang="es-EC" sz="800" b="1" baseline="0">
              <a:latin typeface="Cambria" pitchFamily="18" charset="0"/>
            </a:rPr>
            <a:t> Y SUPUESTOS </a:t>
          </a:r>
          <a:endParaRPr lang="es-EC" sz="800" b="1">
            <a:latin typeface="Cambria" pitchFamily="18" charset="0"/>
          </a:endParaRPr>
        </a:p>
      </xdr:txBody>
    </xdr:sp>
    <xdr:clientData/>
  </xdr:twoCellAnchor>
  <xdr:twoCellAnchor>
    <xdr:from>
      <xdr:col>7</xdr:col>
      <xdr:colOff>28575</xdr:colOff>
      <xdr:row>19</xdr:row>
      <xdr:rowOff>57150</xdr:rowOff>
    </xdr:from>
    <xdr:to>
      <xdr:col>8</xdr:col>
      <xdr:colOff>304800</xdr:colOff>
      <xdr:row>21</xdr:row>
      <xdr:rowOff>161925</xdr:rowOff>
    </xdr:to>
    <xdr:sp macro="" textlink="">
      <xdr:nvSpPr>
        <xdr:cNvPr id="42" name="41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7934325" y="3924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8</xdr:col>
      <xdr:colOff>466725</xdr:colOff>
      <xdr:row>10</xdr:row>
      <xdr:rowOff>47625</xdr:rowOff>
    </xdr:from>
    <xdr:to>
      <xdr:col>9</xdr:col>
      <xdr:colOff>742950</xdr:colOff>
      <xdr:row>12</xdr:row>
      <xdr:rowOff>152400</xdr:rowOff>
    </xdr:to>
    <xdr:sp macro="" textlink="">
      <xdr:nvSpPr>
        <xdr:cNvPr id="43" name="42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9134475" y="22002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8</xdr:col>
      <xdr:colOff>504826</xdr:colOff>
      <xdr:row>16</xdr:row>
      <xdr:rowOff>0</xdr:rowOff>
    </xdr:from>
    <xdr:to>
      <xdr:col>9</xdr:col>
      <xdr:colOff>742952</xdr:colOff>
      <xdr:row>18</xdr:row>
      <xdr:rowOff>104775</xdr:rowOff>
    </xdr:to>
    <xdr:sp macro="" textlink="">
      <xdr:nvSpPr>
        <xdr:cNvPr id="44" name="43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9172576" y="329565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8</xdr:col>
      <xdr:colOff>476250</xdr:colOff>
      <xdr:row>19</xdr:row>
      <xdr:rowOff>38100</xdr:rowOff>
    </xdr:from>
    <xdr:to>
      <xdr:col>9</xdr:col>
      <xdr:colOff>752475</xdr:colOff>
      <xdr:row>21</xdr:row>
      <xdr:rowOff>142875</xdr:rowOff>
    </xdr:to>
    <xdr:sp macro="" textlink="">
      <xdr:nvSpPr>
        <xdr:cNvPr id="45" name="44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9144000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7</xdr:col>
      <xdr:colOff>19050</xdr:colOff>
      <xdr:row>22</xdr:row>
      <xdr:rowOff>57150</xdr:rowOff>
    </xdr:from>
    <xdr:to>
      <xdr:col>8</xdr:col>
      <xdr:colOff>295275</xdr:colOff>
      <xdr:row>24</xdr:row>
      <xdr:rowOff>161925</xdr:rowOff>
    </xdr:to>
    <xdr:sp macro="" textlink="">
      <xdr:nvSpPr>
        <xdr:cNvPr id="46" name="45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7924800" y="4495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276225</xdr:colOff>
      <xdr:row>6</xdr:row>
      <xdr:rowOff>28575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991600" y="5715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9</xdr:col>
      <xdr:colOff>38100</xdr:colOff>
      <xdr:row>6</xdr:row>
      <xdr:rowOff>95250</xdr:rowOff>
    </xdr:from>
    <xdr:to>
      <xdr:col>10</xdr:col>
      <xdr:colOff>314325</xdr:colOff>
      <xdr:row>9</xdr:row>
      <xdr:rowOff>9525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9029700" y="1238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10</xdr:col>
      <xdr:colOff>466725</xdr:colOff>
      <xdr:row>9</xdr:row>
      <xdr:rowOff>114300</xdr:rowOff>
    </xdr:from>
    <xdr:to>
      <xdr:col>11</xdr:col>
      <xdr:colOff>742950</xdr:colOff>
      <xdr:row>12</xdr:row>
      <xdr:rowOff>28575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0220325" y="1828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9</xdr:col>
      <xdr:colOff>28575</xdr:colOff>
      <xdr:row>15</xdr:row>
      <xdr:rowOff>85725</xdr:rowOff>
    </xdr:from>
    <xdr:to>
      <xdr:col>10</xdr:col>
      <xdr:colOff>304800</xdr:colOff>
      <xdr:row>18</xdr:row>
      <xdr:rowOff>0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9020175" y="2943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9</xdr:col>
      <xdr:colOff>38100</xdr:colOff>
      <xdr:row>12</xdr:row>
      <xdr:rowOff>76200</xdr:rowOff>
    </xdr:from>
    <xdr:to>
      <xdr:col>10</xdr:col>
      <xdr:colOff>314325</xdr:colOff>
      <xdr:row>14</xdr:row>
      <xdr:rowOff>180975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9029700" y="2362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10</xdr:col>
      <xdr:colOff>447675</xdr:colOff>
      <xdr:row>6</xdr:row>
      <xdr:rowOff>133350</xdr:rowOff>
    </xdr:from>
    <xdr:to>
      <xdr:col>11</xdr:col>
      <xdr:colOff>723900</xdr:colOff>
      <xdr:row>9</xdr:row>
      <xdr:rowOff>47625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0201275" y="12763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9</xdr:col>
      <xdr:colOff>47625</xdr:colOff>
      <xdr:row>9</xdr:row>
      <xdr:rowOff>76200</xdr:rowOff>
    </xdr:from>
    <xdr:to>
      <xdr:col>10</xdr:col>
      <xdr:colOff>323850</xdr:colOff>
      <xdr:row>11</xdr:row>
      <xdr:rowOff>180975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9039225" y="1790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10</xdr:col>
      <xdr:colOff>409575</xdr:colOff>
      <xdr:row>3</xdr:row>
      <xdr:rowOff>114300</xdr:rowOff>
    </xdr:from>
    <xdr:to>
      <xdr:col>11</xdr:col>
      <xdr:colOff>685800</xdr:colOff>
      <xdr:row>6</xdr:row>
      <xdr:rowOff>28575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0163175" y="685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9</xdr:col>
      <xdr:colOff>28575</xdr:colOff>
      <xdr:row>18</xdr:row>
      <xdr:rowOff>95250</xdr:rowOff>
    </xdr:from>
    <xdr:to>
      <xdr:col>10</xdr:col>
      <xdr:colOff>304800</xdr:colOff>
      <xdr:row>21</xdr:row>
      <xdr:rowOff>9525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9020175" y="3524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10</xdr:col>
      <xdr:colOff>419102</xdr:colOff>
      <xdr:row>15</xdr:row>
      <xdr:rowOff>38101</xdr:rowOff>
    </xdr:from>
    <xdr:to>
      <xdr:col>11</xdr:col>
      <xdr:colOff>752476</xdr:colOff>
      <xdr:row>18</xdr:row>
      <xdr:rowOff>1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0172702" y="28956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9</xdr:col>
      <xdr:colOff>28575</xdr:colOff>
      <xdr:row>21</xdr:row>
      <xdr:rowOff>95250</xdr:rowOff>
    </xdr:from>
    <xdr:to>
      <xdr:col>10</xdr:col>
      <xdr:colOff>304800</xdr:colOff>
      <xdr:row>24</xdr:row>
      <xdr:rowOff>9525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9020175" y="4095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10</xdr:col>
      <xdr:colOff>466725</xdr:colOff>
      <xdr:row>12</xdr:row>
      <xdr:rowOff>85725</xdr:rowOff>
    </xdr:from>
    <xdr:to>
      <xdr:col>11</xdr:col>
      <xdr:colOff>742950</xdr:colOff>
      <xdr:row>15</xdr:row>
      <xdr:rowOff>0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0220325" y="2371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SUPUETOS</a:t>
          </a:r>
        </a:p>
      </xdr:txBody>
    </xdr:sp>
    <xdr:clientData/>
  </xdr:twoCellAnchor>
  <xdr:twoCellAnchor>
    <xdr:from>
      <xdr:col>10</xdr:col>
      <xdr:colOff>504826</xdr:colOff>
      <xdr:row>18</xdr:row>
      <xdr:rowOff>38100</xdr:rowOff>
    </xdr:from>
    <xdr:to>
      <xdr:col>11</xdr:col>
      <xdr:colOff>742952</xdr:colOff>
      <xdr:row>20</xdr:row>
      <xdr:rowOff>142875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0258426" y="34671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10</xdr:col>
      <xdr:colOff>476250</xdr:colOff>
      <xdr:row>21</xdr:row>
      <xdr:rowOff>76200</xdr:rowOff>
    </xdr:from>
    <xdr:to>
      <xdr:col>11</xdr:col>
      <xdr:colOff>752475</xdr:colOff>
      <xdr:row>23</xdr:row>
      <xdr:rowOff>180975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0229850" y="4076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9</xdr:col>
      <xdr:colOff>19050</xdr:colOff>
      <xdr:row>24</xdr:row>
      <xdr:rowOff>95250</xdr:rowOff>
    </xdr:from>
    <xdr:to>
      <xdr:col>10</xdr:col>
      <xdr:colOff>295275</xdr:colOff>
      <xdr:row>27</xdr:row>
      <xdr:rowOff>9525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9010650" y="4667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276225</xdr:colOff>
      <xdr:row>4</xdr:row>
      <xdr:rowOff>152400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943975" y="51435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11</xdr:col>
      <xdr:colOff>38100</xdr:colOff>
      <xdr:row>5</xdr:row>
      <xdr:rowOff>28575</xdr:rowOff>
    </xdr:from>
    <xdr:to>
      <xdr:col>12</xdr:col>
      <xdr:colOff>314325</xdr:colOff>
      <xdr:row>7</xdr:row>
      <xdr:rowOff>133350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8982075" y="1181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12</xdr:col>
      <xdr:colOff>466725</xdr:colOff>
      <xdr:row>8</xdr:row>
      <xdr:rowOff>47625</xdr:rowOff>
    </xdr:from>
    <xdr:to>
      <xdr:col>13</xdr:col>
      <xdr:colOff>742950</xdr:colOff>
      <xdr:row>10</xdr:row>
      <xdr:rowOff>152400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0172700" y="1771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11</xdr:col>
      <xdr:colOff>28575</xdr:colOff>
      <xdr:row>14</xdr:row>
      <xdr:rowOff>19050</xdr:rowOff>
    </xdr:from>
    <xdr:to>
      <xdr:col>12</xdr:col>
      <xdr:colOff>304800</xdr:colOff>
      <xdr:row>16</xdr:row>
      <xdr:rowOff>123825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8972550" y="28860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11</xdr:col>
      <xdr:colOff>38100</xdr:colOff>
      <xdr:row>11</xdr:row>
      <xdr:rowOff>9525</xdr:rowOff>
    </xdr:from>
    <xdr:to>
      <xdr:col>12</xdr:col>
      <xdr:colOff>314325</xdr:colOff>
      <xdr:row>13</xdr:row>
      <xdr:rowOff>114300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8982075" y="23050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12</xdr:col>
      <xdr:colOff>447675</xdr:colOff>
      <xdr:row>5</xdr:row>
      <xdr:rowOff>66675</xdr:rowOff>
    </xdr:from>
    <xdr:to>
      <xdr:col>13</xdr:col>
      <xdr:colOff>723900</xdr:colOff>
      <xdr:row>7</xdr:row>
      <xdr:rowOff>171450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0153650" y="1219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11</xdr:col>
      <xdr:colOff>47625</xdr:colOff>
      <xdr:row>8</xdr:row>
      <xdr:rowOff>9525</xdr:rowOff>
    </xdr:from>
    <xdr:to>
      <xdr:col>12</xdr:col>
      <xdr:colOff>323850</xdr:colOff>
      <xdr:row>10</xdr:row>
      <xdr:rowOff>114300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8991600" y="17335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12</xdr:col>
      <xdr:colOff>409575</xdr:colOff>
      <xdr:row>2</xdr:row>
      <xdr:rowOff>114300</xdr:rowOff>
    </xdr:from>
    <xdr:to>
      <xdr:col>13</xdr:col>
      <xdr:colOff>685800</xdr:colOff>
      <xdr:row>4</xdr:row>
      <xdr:rowOff>152400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0115550" y="628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11</xdr:col>
      <xdr:colOff>28575</xdr:colOff>
      <xdr:row>17</xdr:row>
      <xdr:rowOff>28575</xdr:rowOff>
    </xdr:from>
    <xdr:to>
      <xdr:col>12</xdr:col>
      <xdr:colOff>304800</xdr:colOff>
      <xdr:row>19</xdr:row>
      <xdr:rowOff>133350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8972550" y="3467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12</xdr:col>
      <xdr:colOff>419102</xdr:colOff>
      <xdr:row>13</xdr:row>
      <xdr:rowOff>161926</xdr:rowOff>
    </xdr:from>
    <xdr:to>
      <xdr:col>13</xdr:col>
      <xdr:colOff>752476</xdr:colOff>
      <xdr:row>16</xdr:row>
      <xdr:rowOff>123826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0125077" y="283845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11</xdr:col>
      <xdr:colOff>28575</xdr:colOff>
      <xdr:row>20</xdr:row>
      <xdr:rowOff>28575</xdr:rowOff>
    </xdr:from>
    <xdr:to>
      <xdr:col>12</xdr:col>
      <xdr:colOff>304800</xdr:colOff>
      <xdr:row>22</xdr:row>
      <xdr:rowOff>133350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8972550" y="40386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12</xdr:col>
      <xdr:colOff>466725</xdr:colOff>
      <xdr:row>11</xdr:row>
      <xdr:rowOff>19050</xdr:rowOff>
    </xdr:from>
    <xdr:to>
      <xdr:col>13</xdr:col>
      <xdr:colOff>742950</xdr:colOff>
      <xdr:row>13</xdr:row>
      <xdr:rowOff>123825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0172700" y="23145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12</xdr:col>
      <xdr:colOff>504826</xdr:colOff>
      <xdr:row>16</xdr:row>
      <xdr:rowOff>161925</xdr:rowOff>
    </xdr:from>
    <xdr:to>
      <xdr:col>13</xdr:col>
      <xdr:colOff>742952</xdr:colOff>
      <xdr:row>19</xdr:row>
      <xdr:rowOff>76200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0210801" y="340995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12</xdr:col>
      <xdr:colOff>476250</xdr:colOff>
      <xdr:row>20</xdr:row>
      <xdr:rowOff>9525</xdr:rowOff>
    </xdr:from>
    <xdr:to>
      <xdr:col>13</xdr:col>
      <xdr:colOff>752475</xdr:colOff>
      <xdr:row>22</xdr:row>
      <xdr:rowOff>114300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0182225" y="40195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11</xdr:col>
      <xdr:colOff>19050</xdr:colOff>
      <xdr:row>23</xdr:row>
      <xdr:rowOff>28575</xdr:rowOff>
    </xdr:from>
    <xdr:to>
      <xdr:col>12</xdr:col>
      <xdr:colOff>295275</xdr:colOff>
      <xdr:row>25</xdr:row>
      <xdr:rowOff>133350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8963025" y="4610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10</xdr:col>
      <xdr:colOff>276225</xdr:colOff>
      <xdr:row>4</xdr:row>
      <xdr:rowOff>180975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077450" y="3810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9</xdr:col>
      <xdr:colOff>38100</xdr:colOff>
      <xdr:row>5</xdr:row>
      <xdr:rowOff>57150</xdr:rowOff>
    </xdr:from>
    <xdr:to>
      <xdr:col>10</xdr:col>
      <xdr:colOff>314325</xdr:colOff>
      <xdr:row>7</xdr:row>
      <xdr:rowOff>161925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10115550" y="1047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10</xdr:col>
      <xdr:colOff>466725</xdr:colOff>
      <xdr:row>8</xdr:row>
      <xdr:rowOff>76200</xdr:rowOff>
    </xdr:from>
    <xdr:to>
      <xdr:col>11</xdr:col>
      <xdr:colOff>742950</xdr:colOff>
      <xdr:row>10</xdr:row>
      <xdr:rowOff>180975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1306175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9</xdr:col>
      <xdr:colOff>28575</xdr:colOff>
      <xdr:row>14</xdr:row>
      <xdr:rowOff>47625</xdr:rowOff>
    </xdr:from>
    <xdr:to>
      <xdr:col>10</xdr:col>
      <xdr:colOff>304800</xdr:colOff>
      <xdr:row>16</xdr:row>
      <xdr:rowOff>152400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10106025" y="2752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9</xdr:col>
      <xdr:colOff>38100</xdr:colOff>
      <xdr:row>11</xdr:row>
      <xdr:rowOff>38100</xdr:rowOff>
    </xdr:from>
    <xdr:to>
      <xdr:col>10</xdr:col>
      <xdr:colOff>314325</xdr:colOff>
      <xdr:row>13</xdr:row>
      <xdr:rowOff>142875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10115550" y="2171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10</xdr:col>
      <xdr:colOff>447675</xdr:colOff>
      <xdr:row>5</xdr:row>
      <xdr:rowOff>95250</xdr:rowOff>
    </xdr:from>
    <xdr:to>
      <xdr:col>11</xdr:col>
      <xdr:colOff>723900</xdr:colOff>
      <xdr:row>8</xdr:row>
      <xdr:rowOff>9525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1287125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9</xdr:col>
      <xdr:colOff>47625</xdr:colOff>
      <xdr:row>8</xdr:row>
      <xdr:rowOff>38100</xdr:rowOff>
    </xdr:from>
    <xdr:to>
      <xdr:col>10</xdr:col>
      <xdr:colOff>323850</xdr:colOff>
      <xdr:row>10</xdr:row>
      <xdr:rowOff>142875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10125075" y="1600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10</xdr:col>
      <xdr:colOff>409575</xdr:colOff>
      <xdr:row>2</xdr:row>
      <xdr:rowOff>114300</xdr:rowOff>
    </xdr:from>
    <xdr:to>
      <xdr:col>11</xdr:col>
      <xdr:colOff>685800</xdr:colOff>
      <xdr:row>4</xdr:row>
      <xdr:rowOff>180975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1249025" y="495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9</xdr:col>
      <xdr:colOff>28575</xdr:colOff>
      <xdr:row>17</xdr:row>
      <xdr:rowOff>47625</xdr:rowOff>
    </xdr:from>
    <xdr:to>
      <xdr:col>10</xdr:col>
      <xdr:colOff>304800</xdr:colOff>
      <xdr:row>19</xdr:row>
      <xdr:rowOff>152400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10106025" y="3324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10</xdr:col>
      <xdr:colOff>419102</xdr:colOff>
      <xdr:row>14</xdr:row>
      <xdr:rowOff>1</xdr:rowOff>
    </xdr:from>
    <xdr:to>
      <xdr:col>11</xdr:col>
      <xdr:colOff>752476</xdr:colOff>
      <xdr:row>16</xdr:row>
      <xdr:rowOff>152401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1258552" y="27051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9</xdr:col>
      <xdr:colOff>28575</xdr:colOff>
      <xdr:row>20</xdr:row>
      <xdr:rowOff>57150</xdr:rowOff>
    </xdr:from>
    <xdr:to>
      <xdr:col>10</xdr:col>
      <xdr:colOff>304800</xdr:colOff>
      <xdr:row>22</xdr:row>
      <xdr:rowOff>161925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10106025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10</xdr:col>
      <xdr:colOff>466725</xdr:colOff>
      <xdr:row>11</xdr:row>
      <xdr:rowOff>47625</xdr:rowOff>
    </xdr:from>
    <xdr:to>
      <xdr:col>11</xdr:col>
      <xdr:colOff>742950</xdr:colOff>
      <xdr:row>13</xdr:row>
      <xdr:rowOff>152400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1306175" y="2181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10</xdr:col>
      <xdr:colOff>504826</xdr:colOff>
      <xdr:row>17</xdr:row>
      <xdr:rowOff>0</xdr:rowOff>
    </xdr:from>
    <xdr:to>
      <xdr:col>11</xdr:col>
      <xdr:colOff>742952</xdr:colOff>
      <xdr:row>19</xdr:row>
      <xdr:rowOff>104775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1344276" y="32766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10</xdr:col>
      <xdr:colOff>476250</xdr:colOff>
      <xdr:row>20</xdr:row>
      <xdr:rowOff>38100</xdr:rowOff>
    </xdr:from>
    <xdr:to>
      <xdr:col>11</xdr:col>
      <xdr:colOff>752475</xdr:colOff>
      <xdr:row>22</xdr:row>
      <xdr:rowOff>142875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1315700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9</xdr:col>
      <xdr:colOff>19050</xdr:colOff>
      <xdr:row>23</xdr:row>
      <xdr:rowOff>57150</xdr:rowOff>
    </xdr:from>
    <xdr:to>
      <xdr:col>10</xdr:col>
      <xdr:colOff>295275</xdr:colOff>
      <xdr:row>25</xdr:row>
      <xdr:rowOff>161925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10096500" y="4476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276225</xdr:colOff>
      <xdr:row>2</xdr:row>
      <xdr:rowOff>76200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4191000" y="1905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5</xdr:col>
      <xdr:colOff>38100</xdr:colOff>
      <xdr:row>2</xdr:row>
      <xdr:rowOff>142875</xdr:rowOff>
    </xdr:from>
    <xdr:to>
      <xdr:col>6</xdr:col>
      <xdr:colOff>314325</xdr:colOff>
      <xdr:row>5</xdr:row>
      <xdr:rowOff>57150</xdr:rowOff>
    </xdr:to>
    <xdr:sp macro="" textlink="">
      <xdr:nvSpPr>
        <xdr:cNvPr id="18" name="17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4229100" y="857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6</xdr:col>
      <xdr:colOff>466725</xdr:colOff>
      <xdr:row>5</xdr:row>
      <xdr:rowOff>161925</xdr:rowOff>
    </xdr:from>
    <xdr:to>
      <xdr:col>7</xdr:col>
      <xdr:colOff>742950</xdr:colOff>
      <xdr:row>6</xdr:row>
      <xdr:rowOff>457200</xdr:rowOff>
    </xdr:to>
    <xdr:sp macro="" textlink="">
      <xdr:nvSpPr>
        <xdr:cNvPr id="19" name="18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5419725" y="1447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5</xdr:col>
      <xdr:colOff>28575</xdr:colOff>
      <xdr:row>10</xdr:row>
      <xdr:rowOff>0</xdr:rowOff>
    </xdr:from>
    <xdr:to>
      <xdr:col>6</xdr:col>
      <xdr:colOff>304800</xdr:colOff>
      <xdr:row>12</xdr:row>
      <xdr:rowOff>104775</xdr:rowOff>
    </xdr:to>
    <xdr:sp macro="" textlink="">
      <xdr:nvSpPr>
        <xdr:cNvPr id="20" name="19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219575" y="2562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5</xdr:col>
      <xdr:colOff>38100</xdr:colOff>
      <xdr:row>6</xdr:row>
      <xdr:rowOff>504825</xdr:rowOff>
    </xdr:from>
    <xdr:to>
      <xdr:col>6</xdr:col>
      <xdr:colOff>314325</xdr:colOff>
      <xdr:row>9</xdr:row>
      <xdr:rowOff>95250</xdr:rowOff>
    </xdr:to>
    <xdr:sp macro="" textlink="">
      <xdr:nvSpPr>
        <xdr:cNvPr id="21" name="2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4229100" y="1981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6</xdr:col>
      <xdr:colOff>447675</xdr:colOff>
      <xdr:row>2</xdr:row>
      <xdr:rowOff>180975</xdr:rowOff>
    </xdr:from>
    <xdr:to>
      <xdr:col>7</xdr:col>
      <xdr:colOff>723900</xdr:colOff>
      <xdr:row>5</xdr:row>
      <xdr:rowOff>95250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5400675" y="8953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5</xdr:col>
      <xdr:colOff>47625</xdr:colOff>
      <xdr:row>5</xdr:row>
      <xdr:rowOff>123825</xdr:rowOff>
    </xdr:from>
    <xdr:to>
      <xdr:col>6</xdr:col>
      <xdr:colOff>323850</xdr:colOff>
      <xdr:row>6</xdr:row>
      <xdr:rowOff>419100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4238625" y="1409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6</xdr:col>
      <xdr:colOff>409575</xdr:colOff>
      <xdr:row>1</xdr:row>
      <xdr:rowOff>114300</xdr:rowOff>
    </xdr:from>
    <xdr:to>
      <xdr:col>7</xdr:col>
      <xdr:colOff>685800</xdr:colOff>
      <xdr:row>2</xdr:row>
      <xdr:rowOff>76200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5362575" y="304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5</xdr:col>
      <xdr:colOff>28575</xdr:colOff>
      <xdr:row>13</xdr:row>
      <xdr:rowOff>9525</xdr:rowOff>
    </xdr:from>
    <xdr:to>
      <xdr:col>6</xdr:col>
      <xdr:colOff>304800</xdr:colOff>
      <xdr:row>15</xdr:row>
      <xdr:rowOff>114300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4219575" y="3143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6</xdr:col>
      <xdr:colOff>419102</xdr:colOff>
      <xdr:row>9</xdr:row>
      <xdr:rowOff>142876</xdr:rowOff>
    </xdr:from>
    <xdr:to>
      <xdr:col>7</xdr:col>
      <xdr:colOff>752476</xdr:colOff>
      <xdr:row>12</xdr:row>
      <xdr:rowOff>104776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5372102" y="25146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5</xdr:col>
      <xdr:colOff>28575</xdr:colOff>
      <xdr:row>16</xdr:row>
      <xdr:rowOff>9525</xdr:rowOff>
    </xdr:from>
    <xdr:to>
      <xdr:col>6</xdr:col>
      <xdr:colOff>304800</xdr:colOff>
      <xdr:row>18</xdr:row>
      <xdr:rowOff>114300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4219575" y="3714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6</xdr:col>
      <xdr:colOff>466725</xdr:colOff>
      <xdr:row>7</xdr:row>
      <xdr:rowOff>0</xdr:rowOff>
    </xdr:from>
    <xdr:to>
      <xdr:col>7</xdr:col>
      <xdr:colOff>742950</xdr:colOff>
      <xdr:row>9</xdr:row>
      <xdr:rowOff>104775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5419725" y="1990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6</xdr:col>
      <xdr:colOff>504826</xdr:colOff>
      <xdr:row>12</xdr:row>
      <xdr:rowOff>142875</xdr:rowOff>
    </xdr:from>
    <xdr:to>
      <xdr:col>7</xdr:col>
      <xdr:colOff>742952</xdr:colOff>
      <xdr:row>15</xdr:row>
      <xdr:rowOff>57150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5457826" y="30861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6</xdr:col>
      <xdr:colOff>476250</xdr:colOff>
      <xdr:row>15</xdr:row>
      <xdr:rowOff>180975</xdr:rowOff>
    </xdr:from>
    <xdr:to>
      <xdr:col>7</xdr:col>
      <xdr:colOff>752475</xdr:colOff>
      <xdr:row>18</xdr:row>
      <xdr:rowOff>95250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5429250" y="3695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5</xdr:col>
      <xdr:colOff>19050</xdr:colOff>
      <xdr:row>19</xdr:row>
      <xdr:rowOff>9525</xdr:rowOff>
    </xdr:from>
    <xdr:to>
      <xdr:col>6</xdr:col>
      <xdr:colOff>295275</xdr:colOff>
      <xdr:row>21</xdr:row>
      <xdr:rowOff>114300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4210050" y="4286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276225</xdr:colOff>
      <xdr:row>5</xdr:row>
      <xdr:rowOff>57150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1115675" y="36195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11</xdr:col>
      <xdr:colOff>38100</xdr:colOff>
      <xdr:row>5</xdr:row>
      <xdr:rowOff>123825</xdr:rowOff>
    </xdr:from>
    <xdr:to>
      <xdr:col>12</xdr:col>
      <xdr:colOff>314325</xdr:colOff>
      <xdr:row>8</xdr:row>
      <xdr:rowOff>66675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11153775" y="1028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12</xdr:col>
      <xdr:colOff>466725</xdr:colOff>
      <xdr:row>8</xdr:row>
      <xdr:rowOff>171450</xdr:rowOff>
    </xdr:from>
    <xdr:to>
      <xdr:col>13</xdr:col>
      <xdr:colOff>742950</xdr:colOff>
      <xdr:row>11</xdr:row>
      <xdr:rowOff>114300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2344400" y="1619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11</xdr:col>
      <xdr:colOff>28575</xdr:colOff>
      <xdr:row>15</xdr:row>
      <xdr:rowOff>19050</xdr:rowOff>
    </xdr:from>
    <xdr:to>
      <xdr:col>12</xdr:col>
      <xdr:colOff>304800</xdr:colOff>
      <xdr:row>17</xdr:row>
      <xdr:rowOff>142875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11144250" y="27336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11</xdr:col>
      <xdr:colOff>38100</xdr:colOff>
      <xdr:row>11</xdr:row>
      <xdr:rowOff>161925</xdr:rowOff>
    </xdr:from>
    <xdr:to>
      <xdr:col>12</xdr:col>
      <xdr:colOff>314325</xdr:colOff>
      <xdr:row>14</xdr:row>
      <xdr:rowOff>104775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11153775" y="2152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12</xdr:col>
      <xdr:colOff>447675</xdr:colOff>
      <xdr:row>5</xdr:row>
      <xdr:rowOff>161925</xdr:rowOff>
    </xdr:from>
    <xdr:to>
      <xdr:col>13</xdr:col>
      <xdr:colOff>723900</xdr:colOff>
      <xdr:row>8</xdr:row>
      <xdr:rowOff>104775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2325350" y="1066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11</xdr:col>
      <xdr:colOff>47625</xdr:colOff>
      <xdr:row>8</xdr:row>
      <xdr:rowOff>133350</xdr:rowOff>
    </xdr:from>
    <xdr:to>
      <xdr:col>12</xdr:col>
      <xdr:colOff>323850</xdr:colOff>
      <xdr:row>11</xdr:row>
      <xdr:rowOff>76200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11163300" y="15811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12</xdr:col>
      <xdr:colOff>409575</xdr:colOff>
      <xdr:row>2</xdr:row>
      <xdr:rowOff>114300</xdr:rowOff>
    </xdr:from>
    <xdr:to>
      <xdr:col>13</xdr:col>
      <xdr:colOff>685800</xdr:colOff>
      <xdr:row>5</xdr:row>
      <xdr:rowOff>57150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2287250" y="476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11</xdr:col>
      <xdr:colOff>28575</xdr:colOff>
      <xdr:row>18</xdr:row>
      <xdr:rowOff>57150</xdr:rowOff>
    </xdr:from>
    <xdr:to>
      <xdr:col>12</xdr:col>
      <xdr:colOff>304800</xdr:colOff>
      <xdr:row>21</xdr:row>
      <xdr:rowOff>0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11144250" y="3314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12</xdr:col>
      <xdr:colOff>419102</xdr:colOff>
      <xdr:row>14</xdr:row>
      <xdr:rowOff>152401</xdr:rowOff>
    </xdr:from>
    <xdr:to>
      <xdr:col>13</xdr:col>
      <xdr:colOff>752476</xdr:colOff>
      <xdr:row>17</xdr:row>
      <xdr:rowOff>142876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2296777" y="268605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11</xdr:col>
      <xdr:colOff>28575</xdr:colOff>
      <xdr:row>21</xdr:row>
      <xdr:rowOff>85725</xdr:rowOff>
    </xdr:from>
    <xdr:to>
      <xdr:col>12</xdr:col>
      <xdr:colOff>304800</xdr:colOff>
      <xdr:row>24</xdr:row>
      <xdr:rowOff>28575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11144250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12</xdr:col>
      <xdr:colOff>466725</xdr:colOff>
      <xdr:row>11</xdr:row>
      <xdr:rowOff>171450</xdr:rowOff>
    </xdr:from>
    <xdr:to>
      <xdr:col>13</xdr:col>
      <xdr:colOff>742950</xdr:colOff>
      <xdr:row>14</xdr:row>
      <xdr:rowOff>114300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2344400" y="21621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12</xdr:col>
      <xdr:colOff>504826</xdr:colOff>
      <xdr:row>18</xdr:row>
      <xdr:rowOff>0</xdr:rowOff>
    </xdr:from>
    <xdr:to>
      <xdr:col>13</xdr:col>
      <xdr:colOff>742952</xdr:colOff>
      <xdr:row>20</xdr:row>
      <xdr:rowOff>123825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2382501" y="325755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12</xdr:col>
      <xdr:colOff>476250</xdr:colOff>
      <xdr:row>21</xdr:row>
      <xdr:rowOff>66675</xdr:rowOff>
    </xdr:from>
    <xdr:to>
      <xdr:col>13</xdr:col>
      <xdr:colOff>752475</xdr:colOff>
      <xdr:row>24</xdr:row>
      <xdr:rowOff>9525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2353925" y="38671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11</xdr:col>
      <xdr:colOff>19050</xdr:colOff>
      <xdr:row>24</xdr:row>
      <xdr:rowOff>114300</xdr:rowOff>
    </xdr:from>
    <xdr:to>
      <xdr:col>12</xdr:col>
      <xdr:colOff>295275</xdr:colOff>
      <xdr:row>27</xdr:row>
      <xdr:rowOff>57150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11134725" y="4457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15</xdr:col>
      <xdr:colOff>271277</xdr:colOff>
      <xdr:row>4</xdr:row>
      <xdr:rowOff>228971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6006948" y="606136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14</xdr:col>
      <xdr:colOff>38100</xdr:colOff>
      <xdr:row>5</xdr:row>
      <xdr:rowOff>35873</xdr:rowOff>
    </xdr:from>
    <xdr:to>
      <xdr:col>15</xdr:col>
      <xdr:colOff>309377</xdr:colOff>
      <xdr:row>7</xdr:row>
      <xdr:rowOff>150544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16045048" y="127288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15</xdr:col>
      <xdr:colOff>461777</xdr:colOff>
      <xdr:row>8</xdr:row>
      <xdr:rowOff>69767</xdr:rowOff>
    </xdr:from>
    <xdr:to>
      <xdr:col>16</xdr:col>
      <xdr:colOff>733054</xdr:colOff>
      <xdr:row>10</xdr:row>
      <xdr:rowOff>11256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7235673" y="186343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14</xdr:col>
      <xdr:colOff>28575</xdr:colOff>
      <xdr:row>13</xdr:row>
      <xdr:rowOff>83251</xdr:rowOff>
    </xdr:from>
    <xdr:to>
      <xdr:col>15</xdr:col>
      <xdr:colOff>299852</xdr:colOff>
      <xdr:row>15</xdr:row>
      <xdr:rowOff>197922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16035523" y="2977861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14</xdr:col>
      <xdr:colOff>38100</xdr:colOff>
      <xdr:row>10</xdr:row>
      <xdr:rowOff>58881</xdr:rowOff>
    </xdr:from>
    <xdr:to>
      <xdr:col>15</xdr:col>
      <xdr:colOff>309377</xdr:colOff>
      <xdr:row>12</xdr:row>
      <xdr:rowOff>173553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16045048" y="239683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15</xdr:col>
      <xdr:colOff>442727</xdr:colOff>
      <xdr:row>5</xdr:row>
      <xdr:rowOff>73973</xdr:rowOff>
    </xdr:from>
    <xdr:to>
      <xdr:col>16</xdr:col>
      <xdr:colOff>714004</xdr:colOff>
      <xdr:row>8</xdr:row>
      <xdr:rowOff>3092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7216623" y="131098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14</xdr:col>
      <xdr:colOff>47625</xdr:colOff>
      <xdr:row>8</xdr:row>
      <xdr:rowOff>31667</xdr:rowOff>
    </xdr:from>
    <xdr:to>
      <xdr:col>15</xdr:col>
      <xdr:colOff>318902</xdr:colOff>
      <xdr:row>9</xdr:row>
      <xdr:rowOff>331890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16054573" y="182533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15</xdr:col>
      <xdr:colOff>404627</xdr:colOff>
      <xdr:row>2</xdr:row>
      <xdr:rowOff>114300</xdr:rowOff>
    </xdr:from>
    <xdr:to>
      <xdr:col>16</xdr:col>
      <xdr:colOff>675904</xdr:colOff>
      <xdr:row>4</xdr:row>
      <xdr:rowOff>228971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7178523" y="72043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14</xdr:col>
      <xdr:colOff>28575</xdr:colOff>
      <xdr:row>15</xdr:row>
      <xdr:rowOff>293172</xdr:rowOff>
    </xdr:from>
    <xdr:to>
      <xdr:col>15</xdr:col>
      <xdr:colOff>299852</xdr:colOff>
      <xdr:row>17</xdr:row>
      <xdr:rowOff>148070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16035523" y="355888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15</xdr:col>
      <xdr:colOff>414154</xdr:colOff>
      <xdr:row>13</xdr:row>
      <xdr:rowOff>35627</xdr:rowOff>
    </xdr:from>
    <xdr:to>
      <xdr:col>16</xdr:col>
      <xdr:colOff>742580</xdr:colOff>
      <xdr:row>15</xdr:row>
      <xdr:rowOff>197923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7188050" y="2930237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14</xdr:col>
      <xdr:colOff>28575</xdr:colOff>
      <xdr:row>18</xdr:row>
      <xdr:rowOff>48243</xdr:rowOff>
    </xdr:from>
    <xdr:to>
      <xdr:col>15</xdr:col>
      <xdr:colOff>299852</xdr:colOff>
      <xdr:row>19</xdr:row>
      <xdr:rowOff>101064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16035523" y="413038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15</xdr:col>
      <xdr:colOff>461777</xdr:colOff>
      <xdr:row>10</xdr:row>
      <xdr:rowOff>68406</xdr:rowOff>
    </xdr:from>
    <xdr:to>
      <xdr:col>16</xdr:col>
      <xdr:colOff>733054</xdr:colOff>
      <xdr:row>12</xdr:row>
      <xdr:rowOff>183078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7235673" y="2406361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15</xdr:col>
      <xdr:colOff>499878</xdr:colOff>
      <xdr:row>15</xdr:row>
      <xdr:rowOff>236022</xdr:rowOff>
    </xdr:from>
    <xdr:to>
      <xdr:col>16</xdr:col>
      <xdr:colOff>733056</xdr:colOff>
      <xdr:row>17</xdr:row>
      <xdr:rowOff>90920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7273774" y="3501736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15</xdr:col>
      <xdr:colOff>471302</xdr:colOff>
      <xdr:row>18</xdr:row>
      <xdr:rowOff>29193</xdr:rowOff>
    </xdr:from>
    <xdr:to>
      <xdr:col>16</xdr:col>
      <xdr:colOff>742579</xdr:colOff>
      <xdr:row>19</xdr:row>
      <xdr:rowOff>82014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7245198" y="411133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14</xdr:col>
      <xdr:colOff>19050</xdr:colOff>
      <xdr:row>20</xdr:row>
      <xdr:rowOff>1237</xdr:rowOff>
    </xdr:from>
    <xdr:to>
      <xdr:col>15</xdr:col>
      <xdr:colOff>290327</xdr:colOff>
      <xdr:row>22</xdr:row>
      <xdr:rowOff>115908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16025998" y="4701886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671634</xdr:colOff>
      <xdr:row>10</xdr:row>
      <xdr:rowOff>24912</xdr:rowOff>
    </xdr:from>
    <xdr:to>
      <xdr:col>6</xdr:col>
      <xdr:colOff>110636</xdr:colOff>
      <xdr:row>14</xdr:row>
      <xdr:rowOff>97692</xdr:rowOff>
    </xdr:to>
    <xdr:sp macro="" textlink="">
      <xdr:nvSpPr>
        <xdr:cNvPr id="2" name="Recortar rectángulo de esquina diagonal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71634" y="1929912"/>
          <a:ext cx="4296752" cy="834780"/>
        </a:xfrm>
        <a:prstGeom prst="snip2Diag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Nuestro producto es realizado a base de esencia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de valeriana y endulzante natural cono la stevia, </a:t>
          </a:r>
          <a:r>
            <a:rPr lang="es-ES" sz="110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dando como resultado un té con endulzante natural,</a:t>
          </a:r>
          <a:r>
            <a:rPr lang="es-ES" sz="110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saludable para el consumidor.</a:t>
          </a:r>
          <a:endParaRPr lang="es-EC" sz="1100" i="1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es-EC" sz="11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284769</xdr:colOff>
      <xdr:row>5</xdr:row>
      <xdr:rowOff>146539</xdr:rowOff>
    </xdr:from>
    <xdr:to>
      <xdr:col>4</xdr:col>
      <xdr:colOff>512885</xdr:colOff>
      <xdr:row>9</xdr:row>
      <xdr:rowOff>-1</xdr:rowOff>
    </xdr:to>
    <xdr:sp macro="" textlink="">
      <xdr:nvSpPr>
        <xdr:cNvPr id="3" name="Rectángulo redondead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904019" y="1099039"/>
          <a:ext cx="1847366" cy="61546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1200" b="1" i="0">
              <a:solidFill>
                <a:srgbClr val="00B050"/>
              </a:solidFill>
              <a:latin typeface="Arial Black" panose="020B0A04020102020204" pitchFamily="34" charset="0"/>
            </a:rPr>
            <a:t>DESCRIPCIÓN DEL PRODUCTO</a:t>
          </a:r>
        </a:p>
      </xdr:txBody>
    </xdr:sp>
    <xdr:clientData/>
  </xdr:twoCellAnchor>
  <xdr:twoCellAnchor>
    <xdr:from>
      <xdr:col>0</xdr:col>
      <xdr:colOff>608129</xdr:colOff>
      <xdr:row>16</xdr:row>
      <xdr:rowOff>30285</xdr:rowOff>
    </xdr:from>
    <xdr:to>
      <xdr:col>3</xdr:col>
      <xdr:colOff>195385</xdr:colOff>
      <xdr:row>18</xdr:row>
      <xdr:rowOff>85480</xdr:rowOff>
    </xdr:to>
    <xdr:sp macro="" textlink="">
      <xdr:nvSpPr>
        <xdr:cNvPr id="5" name="Pentágono 8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08129" y="3078285"/>
          <a:ext cx="2016131" cy="436195"/>
        </a:xfrm>
        <a:prstGeom prst="homePlat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EC" sz="900" b="1" i="0">
              <a:solidFill>
                <a:schemeClr val="tx1"/>
              </a:solidFill>
              <a:latin typeface="Arial Black" panose="020B0A04020102020204" pitchFamily="34" charset="0"/>
            </a:rPr>
            <a:t>Plantas Naturales</a:t>
          </a:r>
        </a:p>
      </xdr:txBody>
    </xdr:sp>
    <xdr:clientData/>
  </xdr:twoCellAnchor>
  <xdr:twoCellAnchor editAs="oneCell">
    <xdr:from>
      <xdr:col>3</xdr:col>
      <xdr:colOff>73269</xdr:colOff>
      <xdr:row>35</xdr:row>
      <xdr:rowOff>36634</xdr:rowOff>
    </xdr:from>
    <xdr:to>
      <xdr:col>6</xdr:col>
      <xdr:colOff>24424</xdr:colOff>
      <xdr:row>41</xdr:row>
      <xdr:rowOff>2686</xdr:rowOff>
    </xdr:to>
    <xdr:pic>
      <xdr:nvPicPr>
        <xdr:cNvPr id="6" name="Imagen 17" descr="Resultado de imagen para STEVIA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2144" y="6704134"/>
          <a:ext cx="2380030" cy="110905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oneCellAnchor>
    <xdr:from>
      <xdr:col>3</xdr:col>
      <xdr:colOff>221092</xdr:colOff>
      <xdr:row>31</xdr:row>
      <xdr:rowOff>10651</xdr:rowOff>
    </xdr:from>
    <xdr:ext cx="1929423" cy="718466"/>
    <xdr:sp macro="" textlink="">
      <xdr:nvSpPr>
        <xdr:cNvPr id="7" name="Rectángulo 18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2649967" y="5916151"/>
          <a:ext cx="1929423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2700">
                <a:solidFill>
                  <a:schemeClr val="accent5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STEVIA</a:t>
          </a:r>
        </a:p>
      </xdr:txBody>
    </xdr:sp>
    <xdr:clientData/>
  </xdr:oneCellAnchor>
  <xdr:twoCellAnchor editAs="oneCell">
    <xdr:from>
      <xdr:col>3</xdr:col>
      <xdr:colOff>305289</xdr:colOff>
      <xdr:row>24</xdr:row>
      <xdr:rowOff>170962</xdr:rowOff>
    </xdr:from>
    <xdr:to>
      <xdr:col>5</xdr:col>
      <xdr:colOff>342431</xdr:colOff>
      <xdr:row>31</xdr:row>
      <xdr:rowOff>66675</xdr:rowOff>
    </xdr:to>
    <xdr:pic>
      <xdr:nvPicPr>
        <xdr:cNvPr id="8" name="Imagen 10" descr="Resultado de imagen para valeriana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164" y="4742962"/>
          <a:ext cx="1656392" cy="122921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610576</xdr:colOff>
      <xdr:row>21</xdr:row>
      <xdr:rowOff>26073</xdr:rowOff>
    </xdr:from>
    <xdr:to>
      <xdr:col>2</xdr:col>
      <xdr:colOff>720481</xdr:colOff>
      <xdr:row>31</xdr:row>
      <xdr:rowOff>73271</xdr:rowOff>
    </xdr:to>
    <xdr:pic>
      <xdr:nvPicPr>
        <xdr:cNvPr id="9" name="Imagen 11" descr="Resultado de imagen para esencia de valeriana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7" t="19120" r="14745" b="14726"/>
        <a:stretch/>
      </xdr:blipFill>
      <xdr:spPr bwMode="auto">
        <a:xfrm>
          <a:off x="610576" y="4026573"/>
          <a:ext cx="1729155" cy="195219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574709</xdr:colOff>
      <xdr:row>32</xdr:row>
      <xdr:rowOff>98413</xdr:rowOff>
    </xdr:from>
    <xdr:to>
      <xdr:col>2</xdr:col>
      <xdr:colOff>514351</xdr:colOff>
      <xdr:row>34</xdr:row>
      <xdr:rowOff>153607</xdr:rowOff>
    </xdr:to>
    <xdr:sp macro="" textlink="">
      <xdr:nvSpPr>
        <xdr:cNvPr id="10" name="Pentágono 12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/>
      </xdr:nvSpPr>
      <xdr:spPr>
        <a:xfrm>
          <a:off x="574709" y="6194413"/>
          <a:ext cx="1558892" cy="436194"/>
        </a:xfrm>
        <a:prstGeom prst="homePlate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EC" sz="900" b="1" i="0">
              <a:solidFill>
                <a:schemeClr val="tx1"/>
              </a:solidFill>
              <a:latin typeface="Arial Black" panose="020B0A04020102020204" pitchFamily="34" charset="0"/>
            </a:rPr>
            <a:t>Beneficios</a:t>
          </a:r>
        </a:p>
      </xdr:txBody>
    </xdr:sp>
    <xdr:clientData/>
  </xdr:twoCellAnchor>
  <xdr:twoCellAnchor>
    <xdr:from>
      <xdr:col>0</xdr:col>
      <xdr:colOff>419101</xdr:colOff>
      <xdr:row>35</xdr:row>
      <xdr:rowOff>180975</xdr:rowOff>
    </xdr:from>
    <xdr:to>
      <xdr:col>2</xdr:col>
      <xdr:colOff>609601</xdr:colOff>
      <xdr:row>46</xdr:row>
      <xdr:rowOff>9525</xdr:rowOff>
    </xdr:to>
    <xdr:sp macro="" textlink="">
      <xdr:nvSpPr>
        <xdr:cNvPr id="11" name="Rectángulo 2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/>
      </xdr:nvSpPr>
      <xdr:spPr>
        <a:xfrm>
          <a:off x="419101" y="6848475"/>
          <a:ext cx="1809750" cy="1924050"/>
        </a:xfrm>
        <a:prstGeom prst="rect">
          <a:avLst/>
        </a:prstGeom>
        <a:ln w="28575">
          <a:solidFill>
            <a:schemeClr val="accent1"/>
          </a:solidFill>
          <a:prstDash val="sysDash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s-EC" sz="1100">
              <a:solidFill>
                <a:sysClr val="windowText" lastClr="000000"/>
              </a:solidFill>
            </a:rPr>
            <a:t>La Valeriana es considerada eficaz para tratar: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-El Insomnio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-Disminuye ell</a:t>
          </a:r>
          <a:r>
            <a:rPr lang="es-EC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estrés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-Inquietud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-Depresión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-Convulsiones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-Temblores leves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-Epilepsia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-El</a:t>
          </a:r>
          <a:r>
            <a:rPr lang="es-EC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olor de cabeza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-Entre</a:t>
          </a:r>
          <a:r>
            <a:rPr lang="es-EC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otras.</a:t>
          </a:r>
          <a:endParaRPr lang="es-EC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s-EC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Síntomas de la menopausia</a:t>
          </a:r>
        </a:p>
        <a:p>
          <a:r>
            <a:rPr lang="es-EC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Alteraciones hepática</a:t>
          </a:r>
        </a:p>
        <a:p>
          <a:pPr algn="l"/>
          <a:endParaRPr lang="es-EC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138431</xdr:colOff>
      <xdr:row>0</xdr:row>
      <xdr:rowOff>78442</xdr:rowOff>
    </xdr:from>
    <xdr:to>
      <xdr:col>4</xdr:col>
      <xdr:colOff>672353</xdr:colOff>
      <xdr:row>5</xdr:row>
      <xdr:rowOff>133888</xdr:rowOff>
    </xdr:to>
    <xdr:pic>
      <xdr:nvPicPr>
        <xdr:cNvPr id="12" name="Imagen 8" descr="https://scontent.fuio1-1.fna.fbcdn.net/v/t34.0-12/15281057_1019875211492028_1173339558_n.jpg?oh=11e701416774a1e4698c903fa2ff7866&amp;oe=58427371">
          <a:extLst>
            <a:ext uri="{FF2B5EF4-FFF2-40B4-BE49-F238E27FC236}">
              <a16:creationId xmlns:a16="http://schemas.microsoft.com/office/drawing/2014/main" xmlns="" id="{6EDACC09-ACE6-4485-9B6C-0220EE6A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078" y="78442"/>
          <a:ext cx="2147569" cy="1007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614819</xdr:colOff>
      <xdr:row>0</xdr:row>
      <xdr:rowOff>180975</xdr:rowOff>
    </xdr:from>
    <xdr:to>
      <xdr:col>7</xdr:col>
      <xdr:colOff>52722</xdr:colOff>
      <xdr:row>2</xdr:row>
      <xdr:rowOff>12303</xdr:rowOff>
    </xdr:to>
    <xdr:pic>
      <xdr:nvPicPr>
        <xdr:cNvPr id="2" name="Imagen 8" descr="https://scontent.fuio1-1.fna.fbcdn.net/v/t34.0-12/15281057_1019875211492028_1173339558_n.jpg?oh=11e701416774a1e4698c903fa2ff7866&amp;oe=58427371">
          <a:extLst>
            <a:ext uri="{FF2B5EF4-FFF2-40B4-BE49-F238E27FC236}">
              <a16:creationId xmlns:a16="http://schemas.microsoft.com/office/drawing/2014/main" xmlns="" id="{6EDACC09-ACE6-4485-9B6C-0220EE6A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0869" y="180975"/>
          <a:ext cx="1114303" cy="77430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519569</xdr:colOff>
      <xdr:row>0</xdr:row>
      <xdr:rowOff>180975</xdr:rowOff>
    </xdr:from>
    <xdr:to>
      <xdr:col>1</xdr:col>
      <xdr:colOff>871872</xdr:colOff>
      <xdr:row>2</xdr:row>
      <xdr:rowOff>12303</xdr:rowOff>
    </xdr:to>
    <xdr:pic>
      <xdr:nvPicPr>
        <xdr:cNvPr id="4" name="Imagen 8" descr="https://scontent.fuio1-1.fna.fbcdn.net/v/t34.0-12/15281057_1019875211492028_1173339558_n.jpg?oh=11e701416774a1e4698c903fa2ff7866&amp;oe=58427371">
          <a:extLst>
            <a:ext uri="{FF2B5EF4-FFF2-40B4-BE49-F238E27FC236}">
              <a16:creationId xmlns:a16="http://schemas.microsoft.com/office/drawing/2014/main" xmlns="" id="{6EDACC09-ACE6-4485-9B6C-0220EE6A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69" y="180975"/>
          <a:ext cx="1114303" cy="77430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323850</xdr:rowOff>
    </xdr:from>
    <xdr:to>
      <xdr:col>10</xdr:col>
      <xdr:colOff>276225</xdr:colOff>
      <xdr:row>2</xdr:row>
      <xdr:rowOff>171450</xdr:rowOff>
    </xdr:to>
    <xdr:sp macro="" textlink="">
      <xdr:nvSpPr>
        <xdr:cNvPr id="5" name="4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9696450" y="51435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9</xdr:col>
      <xdr:colOff>38100</xdr:colOff>
      <xdr:row>3</xdr:row>
      <xdr:rowOff>47625</xdr:rowOff>
    </xdr:from>
    <xdr:to>
      <xdr:col>10</xdr:col>
      <xdr:colOff>314325</xdr:colOff>
      <xdr:row>5</xdr:row>
      <xdr:rowOff>76200</xdr:rowOff>
    </xdr:to>
    <xdr:sp macro="" textlink="">
      <xdr:nvSpPr>
        <xdr:cNvPr id="6" name="5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9734550" y="1181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10</xdr:col>
      <xdr:colOff>466725</xdr:colOff>
      <xdr:row>5</xdr:row>
      <xdr:rowOff>180975</xdr:rowOff>
    </xdr:from>
    <xdr:to>
      <xdr:col>11</xdr:col>
      <xdr:colOff>742950</xdr:colOff>
      <xdr:row>8</xdr:row>
      <xdr:rowOff>66675</xdr:rowOff>
    </xdr:to>
    <xdr:sp macro="" textlink="">
      <xdr:nvSpPr>
        <xdr:cNvPr id="7" name="6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0925175" y="1771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9</xdr:col>
      <xdr:colOff>28575</xdr:colOff>
      <xdr:row>11</xdr:row>
      <xdr:rowOff>95250</xdr:rowOff>
    </xdr:from>
    <xdr:to>
      <xdr:col>10</xdr:col>
      <xdr:colOff>304800</xdr:colOff>
      <xdr:row>13</xdr:row>
      <xdr:rowOff>180975</xdr:rowOff>
    </xdr:to>
    <xdr:sp macro="" textlink="">
      <xdr:nvSpPr>
        <xdr:cNvPr id="8" name="7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9725025" y="28860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9</xdr:col>
      <xdr:colOff>38100</xdr:colOff>
      <xdr:row>8</xdr:row>
      <xdr:rowOff>114300</xdr:rowOff>
    </xdr:from>
    <xdr:to>
      <xdr:col>10</xdr:col>
      <xdr:colOff>314325</xdr:colOff>
      <xdr:row>11</xdr:row>
      <xdr:rowOff>0</xdr:rowOff>
    </xdr:to>
    <xdr:sp macro="" textlink="">
      <xdr:nvSpPr>
        <xdr:cNvPr id="9" name="8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9734550" y="23050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10</xdr:col>
      <xdr:colOff>447675</xdr:colOff>
      <xdr:row>3</xdr:row>
      <xdr:rowOff>85725</xdr:rowOff>
    </xdr:from>
    <xdr:to>
      <xdr:col>11</xdr:col>
      <xdr:colOff>723900</xdr:colOff>
      <xdr:row>5</xdr:row>
      <xdr:rowOff>114300</xdr:rowOff>
    </xdr:to>
    <xdr:sp macro="" textlink="">
      <xdr:nvSpPr>
        <xdr:cNvPr id="11" name="10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0906125" y="1219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9</xdr:col>
      <xdr:colOff>47625</xdr:colOff>
      <xdr:row>5</xdr:row>
      <xdr:rowOff>142875</xdr:rowOff>
    </xdr:from>
    <xdr:to>
      <xdr:col>10</xdr:col>
      <xdr:colOff>323850</xdr:colOff>
      <xdr:row>8</xdr:row>
      <xdr:rowOff>28575</xdr:rowOff>
    </xdr:to>
    <xdr:sp macro="" textlink="">
      <xdr:nvSpPr>
        <xdr:cNvPr id="12" name="11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9744075" y="17335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10</xdr:col>
      <xdr:colOff>409575</xdr:colOff>
      <xdr:row>1</xdr:row>
      <xdr:rowOff>438150</xdr:rowOff>
    </xdr:from>
    <xdr:to>
      <xdr:col>11</xdr:col>
      <xdr:colOff>685800</xdr:colOff>
      <xdr:row>2</xdr:row>
      <xdr:rowOff>171450</xdr:rowOff>
    </xdr:to>
    <xdr:sp macro="" textlink="">
      <xdr:nvSpPr>
        <xdr:cNvPr id="13" name="12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0868025" y="628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9</xdr:col>
      <xdr:colOff>28575</xdr:colOff>
      <xdr:row>14</xdr:row>
      <xdr:rowOff>76200</xdr:rowOff>
    </xdr:from>
    <xdr:to>
      <xdr:col>10</xdr:col>
      <xdr:colOff>304800</xdr:colOff>
      <xdr:row>16</xdr:row>
      <xdr:rowOff>161925</xdr:rowOff>
    </xdr:to>
    <xdr:sp macro="" textlink="">
      <xdr:nvSpPr>
        <xdr:cNvPr id="14" name="13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9725025" y="3467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10</xdr:col>
      <xdr:colOff>419102</xdr:colOff>
      <xdr:row>11</xdr:row>
      <xdr:rowOff>47626</xdr:rowOff>
    </xdr:from>
    <xdr:to>
      <xdr:col>11</xdr:col>
      <xdr:colOff>752476</xdr:colOff>
      <xdr:row>13</xdr:row>
      <xdr:rowOff>180976</xdr:rowOff>
    </xdr:to>
    <xdr:sp macro="" textlink="">
      <xdr:nvSpPr>
        <xdr:cNvPr id="15" name="14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0877552" y="283845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9</xdr:col>
      <xdr:colOff>28575</xdr:colOff>
      <xdr:row>17</xdr:row>
      <xdr:rowOff>47625</xdr:rowOff>
    </xdr:from>
    <xdr:to>
      <xdr:col>10</xdr:col>
      <xdr:colOff>304800</xdr:colOff>
      <xdr:row>19</xdr:row>
      <xdr:rowOff>133350</xdr:rowOff>
    </xdr:to>
    <xdr:sp macro="" textlink="">
      <xdr:nvSpPr>
        <xdr:cNvPr id="16" name="15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9725025" y="40386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10</xdr:col>
      <xdr:colOff>466725</xdr:colOff>
      <xdr:row>8</xdr:row>
      <xdr:rowOff>123825</xdr:rowOff>
    </xdr:from>
    <xdr:to>
      <xdr:col>11</xdr:col>
      <xdr:colOff>742950</xdr:colOff>
      <xdr:row>11</xdr:row>
      <xdr:rowOff>9525</xdr:rowOff>
    </xdr:to>
    <xdr:sp macro="" textlink="">
      <xdr:nvSpPr>
        <xdr:cNvPr id="17" name="16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0925175" y="23145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10</xdr:col>
      <xdr:colOff>504826</xdr:colOff>
      <xdr:row>14</xdr:row>
      <xdr:rowOff>19050</xdr:rowOff>
    </xdr:from>
    <xdr:to>
      <xdr:col>11</xdr:col>
      <xdr:colOff>742952</xdr:colOff>
      <xdr:row>16</xdr:row>
      <xdr:rowOff>104775</xdr:rowOff>
    </xdr:to>
    <xdr:sp macro="" textlink="">
      <xdr:nvSpPr>
        <xdr:cNvPr id="18" name="17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0963276" y="340995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10</xdr:col>
      <xdr:colOff>476250</xdr:colOff>
      <xdr:row>17</xdr:row>
      <xdr:rowOff>28575</xdr:rowOff>
    </xdr:from>
    <xdr:to>
      <xdr:col>11</xdr:col>
      <xdr:colOff>752475</xdr:colOff>
      <xdr:row>19</xdr:row>
      <xdr:rowOff>114300</xdr:rowOff>
    </xdr:to>
    <xdr:sp macro="" textlink="">
      <xdr:nvSpPr>
        <xdr:cNvPr id="19" name="18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0934700" y="40195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9</xdr:col>
      <xdr:colOff>19050</xdr:colOff>
      <xdr:row>20</xdr:row>
      <xdr:rowOff>19050</xdr:rowOff>
    </xdr:from>
    <xdr:to>
      <xdr:col>10</xdr:col>
      <xdr:colOff>295275</xdr:colOff>
      <xdr:row>22</xdr:row>
      <xdr:rowOff>114300</xdr:rowOff>
    </xdr:to>
    <xdr:sp macro="" textlink="">
      <xdr:nvSpPr>
        <xdr:cNvPr id="20" name="19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9715500" y="4610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24</xdr:row>
      <xdr:rowOff>95250</xdr:rowOff>
    </xdr:from>
    <xdr:to>
      <xdr:col>10</xdr:col>
      <xdr:colOff>85725</xdr:colOff>
      <xdr:row>27</xdr:row>
      <xdr:rowOff>9525</xdr:rowOff>
    </xdr:to>
    <xdr:sp macro="" textlink="">
      <xdr:nvSpPr>
        <xdr:cNvPr id="16" name="15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8553450" y="4819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7</xdr:col>
      <xdr:colOff>19050</xdr:colOff>
      <xdr:row>24</xdr:row>
      <xdr:rowOff>95250</xdr:rowOff>
    </xdr:from>
    <xdr:to>
      <xdr:col>8</xdr:col>
      <xdr:colOff>295275</xdr:colOff>
      <xdr:row>27</xdr:row>
      <xdr:rowOff>9525</xdr:rowOff>
    </xdr:to>
    <xdr:sp macro="" textlink="">
      <xdr:nvSpPr>
        <xdr:cNvPr id="17" name="16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7239000" y="4819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276225</xdr:colOff>
      <xdr:row>4</xdr:row>
      <xdr:rowOff>142875</xdr:rowOff>
    </xdr:to>
    <xdr:sp macro="" textlink="">
      <xdr:nvSpPr>
        <xdr:cNvPr id="18" name="17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7219950" y="3810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7</xdr:col>
      <xdr:colOff>38100</xdr:colOff>
      <xdr:row>4</xdr:row>
      <xdr:rowOff>209550</xdr:rowOff>
    </xdr:from>
    <xdr:to>
      <xdr:col>8</xdr:col>
      <xdr:colOff>314325</xdr:colOff>
      <xdr:row>7</xdr:row>
      <xdr:rowOff>47625</xdr:rowOff>
    </xdr:to>
    <xdr:sp macro="" textlink="">
      <xdr:nvSpPr>
        <xdr:cNvPr id="19" name="18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7258050" y="1047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8</xdr:col>
      <xdr:colOff>466725</xdr:colOff>
      <xdr:row>7</xdr:row>
      <xdr:rowOff>152400</xdr:rowOff>
    </xdr:from>
    <xdr:to>
      <xdr:col>9</xdr:col>
      <xdr:colOff>742950</xdr:colOff>
      <xdr:row>10</xdr:row>
      <xdr:rowOff>66675</xdr:rowOff>
    </xdr:to>
    <xdr:sp macro="" textlink="">
      <xdr:nvSpPr>
        <xdr:cNvPr id="20" name="19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8448675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7</xdr:col>
      <xdr:colOff>28575</xdr:colOff>
      <xdr:row>13</xdr:row>
      <xdr:rowOff>123825</xdr:rowOff>
    </xdr:from>
    <xdr:to>
      <xdr:col>8</xdr:col>
      <xdr:colOff>304800</xdr:colOff>
      <xdr:row>16</xdr:row>
      <xdr:rowOff>38100</xdr:rowOff>
    </xdr:to>
    <xdr:sp macro="" textlink="">
      <xdr:nvSpPr>
        <xdr:cNvPr id="21" name="20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7248525" y="2752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7</xdr:col>
      <xdr:colOff>38100</xdr:colOff>
      <xdr:row>10</xdr:row>
      <xdr:rowOff>114300</xdr:rowOff>
    </xdr:from>
    <xdr:to>
      <xdr:col>8</xdr:col>
      <xdr:colOff>314325</xdr:colOff>
      <xdr:row>13</xdr:row>
      <xdr:rowOff>28575</xdr:rowOff>
    </xdr:to>
    <xdr:sp macro="" textlink="">
      <xdr:nvSpPr>
        <xdr:cNvPr id="22" name="21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7258050" y="2171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8</xdr:col>
      <xdr:colOff>447675</xdr:colOff>
      <xdr:row>4</xdr:row>
      <xdr:rowOff>247650</xdr:rowOff>
    </xdr:from>
    <xdr:to>
      <xdr:col>9</xdr:col>
      <xdr:colOff>723900</xdr:colOff>
      <xdr:row>7</xdr:row>
      <xdr:rowOff>85725</xdr:rowOff>
    </xdr:to>
    <xdr:sp macro="" textlink="">
      <xdr:nvSpPr>
        <xdr:cNvPr id="23" name="22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8429625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7</xdr:col>
      <xdr:colOff>47625</xdr:colOff>
      <xdr:row>7</xdr:row>
      <xdr:rowOff>114300</xdr:rowOff>
    </xdr:from>
    <xdr:to>
      <xdr:col>8</xdr:col>
      <xdr:colOff>323850</xdr:colOff>
      <xdr:row>10</xdr:row>
      <xdr:rowOff>28575</xdr:rowOff>
    </xdr:to>
    <xdr:sp macro="" textlink="">
      <xdr:nvSpPr>
        <xdr:cNvPr id="24" name="23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7267575" y="1600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8</xdr:col>
      <xdr:colOff>409575</xdr:colOff>
      <xdr:row>2</xdr:row>
      <xdr:rowOff>114300</xdr:rowOff>
    </xdr:from>
    <xdr:to>
      <xdr:col>9</xdr:col>
      <xdr:colOff>685800</xdr:colOff>
      <xdr:row>4</xdr:row>
      <xdr:rowOff>142875</xdr:rowOff>
    </xdr:to>
    <xdr:sp macro="" textlink="">
      <xdr:nvSpPr>
        <xdr:cNvPr id="25" name="24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8391525" y="495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7</xdr:col>
      <xdr:colOff>28575</xdr:colOff>
      <xdr:row>16</xdr:row>
      <xdr:rowOff>133350</xdr:rowOff>
    </xdr:from>
    <xdr:to>
      <xdr:col>8</xdr:col>
      <xdr:colOff>304800</xdr:colOff>
      <xdr:row>19</xdr:row>
      <xdr:rowOff>47625</xdr:rowOff>
    </xdr:to>
    <xdr:sp macro="" textlink="">
      <xdr:nvSpPr>
        <xdr:cNvPr id="26" name="25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7248525" y="3333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8</xdr:col>
      <xdr:colOff>419102</xdr:colOff>
      <xdr:row>13</xdr:row>
      <xdr:rowOff>76201</xdr:rowOff>
    </xdr:from>
    <xdr:to>
      <xdr:col>9</xdr:col>
      <xdr:colOff>752476</xdr:colOff>
      <xdr:row>16</xdr:row>
      <xdr:rowOff>38101</xdr:rowOff>
    </xdr:to>
    <xdr:sp macro="" textlink="">
      <xdr:nvSpPr>
        <xdr:cNvPr id="27" name="26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8401052" y="27051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7</xdr:col>
      <xdr:colOff>28575</xdr:colOff>
      <xdr:row>19</xdr:row>
      <xdr:rowOff>133350</xdr:rowOff>
    </xdr:from>
    <xdr:to>
      <xdr:col>8</xdr:col>
      <xdr:colOff>304800</xdr:colOff>
      <xdr:row>22</xdr:row>
      <xdr:rowOff>47625</xdr:rowOff>
    </xdr:to>
    <xdr:sp macro="" textlink="">
      <xdr:nvSpPr>
        <xdr:cNvPr id="28" name="27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7248525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8</xdr:col>
      <xdr:colOff>466725</xdr:colOff>
      <xdr:row>10</xdr:row>
      <xdr:rowOff>123825</xdr:rowOff>
    </xdr:from>
    <xdr:to>
      <xdr:col>9</xdr:col>
      <xdr:colOff>742950</xdr:colOff>
      <xdr:row>13</xdr:row>
      <xdr:rowOff>38100</xdr:rowOff>
    </xdr:to>
    <xdr:sp macro="" textlink="">
      <xdr:nvSpPr>
        <xdr:cNvPr id="29" name="28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8448675" y="2181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8</xdr:col>
      <xdr:colOff>504826</xdr:colOff>
      <xdr:row>16</xdr:row>
      <xdr:rowOff>76200</xdr:rowOff>
    </xdr:from>
    <xdr:to>
      <xdr:col>9</xdr:col>
      <xdr:colOff>742952</xdr:colOff>
      <xdr:row>18</xdr:row>
      <xdr:rowOff>180975</xdr:rowOff>
    </xdr:to>
    <xdr:sp macro="" textlink="">
      <xdr:nvSpPr>
        <xdr:cNvPr id="30" name="29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8486776" y="32766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8</xdr:col>
      <xdr:colOff>476250</xdr:colOff>
      <xdr:row>19</xdr:row>
      <xdr:rowOff>114300</xdr:rowOff>
    </xdr:from>
    <xdr:to>
      <xdr:col>9</xdr:col>
      <xdr:colOff>752475</xdr:colOff>
      <xdr:row>22</xdr:row>
      <xdr:rowOff>28575</xdr:rowOff>
    </xdr:to>
    <xdr:sp macro="" textlink="">
      <xdr:nvSpPr>
        <xdr:cNvPr id="31" name="30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8458200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7</xdr:col>
      <xdr:colOff>19050</xdr:colOff>
      <xdr:row>22</xdr:row>
      <xdr:rowOff>133350</xdr:rowOff>
    </xdr:from>
    <xdr:to>
      <xdr:col>8</xdr:col>
      <xdr:colOff>295275</xdr:colOff>
      <xdr:row>25</xdr:row>
      <xdr:rowOff>47625</xdr:rowOff>
    </xdr:to>
    <xdr:sp macro="" textlink="">
      <xdr:nvSpPr>
        <xdr:cNvPr id="32" name="31 Proceso alternativ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7239000" y="4476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8</xdr:col>
      <xdr:colOff>457200</xdr:colOff>
      <xdr:row>22</xdr:row>
      <xdr:rowOff>95250</xdr:rowOff>
    </xdr:from>
    <xdr:to>
      <xdr:col>9</xdr:col>
      <xdr:colOff>733425</xdr:colOff>
      <xdr:row>25</xdr:row>
      <xdr:rowOff>9525</xdr:rowOff>
    </xdr:to>
    <xdr:sp macro="" textlink="">
      <xdr:nvSpPr>
        <xdr:cNvPr id="33" name="32 Proceso alternativ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8439150" y="44386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</a:t>
          </a:r>
          <a:r>
            <a:rPr lang="es-EC" sz="900" b="1" baseline="0">
              <a:latin typeface="Cambria" pitchFamily="18" charset="0"/>
            </a:rPr>
            <a:t> Y SUPUESTOS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15</xdr:col>
      <xdr:colOff>276225</xdr:colOff>
      <xdr:row>5</xdr:row>
      <xdr:rowOff>180975</xdr:rowOff>
    </xdr:to>
    <xdr:sp macro="" textlink="">
      <xdr:nvSpPr>
        <xdr:cNvPr id="24" name="23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420350" y="70485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14</xdr:col>
      <xdr:colOff>38100</xdr:colOff>
      <xdr:row>6</xdr:row>
      <xdr:rowOff>57150</xdr:rowOff>
    </xdr:from>
    <xdr:to>
      <xdr:col>15</xdr:col>
      <xdr:colOff>314325</xdr:colOff>
      <xdr:row>7</xdr:row>
      <xdr:rowOff>352425</xdr:rowOff>
    </xdr:to>
    <xdr:sp macro="" textlink="">
      <xdr:nvSpPr>
        <xdr:cNvPr id="25" name="24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10458450" y="13716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15</xdr:col>
      <xdr:colOff>466725</xdr:colOff>
      <xdr:row>8</xdr:row>
      <xdr:rowOff>76200</xdr:rowOff>
    </xdr:from>
    <xdr:to>
      <xdr:col>16</xdr:col>
      <xdr:colOff>742950</xdr:colOff>
      <xdr:row>10</xdr:row>
      <xdr:rowOff>180975</xdr:rowOff>
    </xdr:to>
    <xdr:sp macro="" textlink="">
      <xdr:nvSpPr>
        <xdr:cNvPr id="26" name="25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1649075" y="19621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14</xdr:col>
      <xdr:colOff>28575</xdr:colOff>
      <xdr:row>14</xdr:row>
      <xdr:rowOff>47625</xdr:rowOff>
    </xdr:from>
    <xdr:to>
      <xdr:col>15</xdr:col>
      <xdr:colOff>304800</xdr:colOff>
      <xdr:row>16</xdr:row>
      <xdr:rowOff>152400</xdr:rowOff>
    </xdr:to>
    <xdr:sp macro="" textlink="">
      <xdr:nvSpPr>
        <xdr:cNvPr id="27" name="26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10448925" y="30765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14</xdr:col>
      <xdr:colOff>38100</xdr:colOff>
      <xdr:row>11</xdr:row>
      <xdr:rowOff>38100</xdr:rowOff>
    </xdr:from>
    <xdr:to>
      <xdr:col>15</xdr:col>
      <xdr:colOff>314325</xdr:colOff>
      <xdr:row>13</xdr:row>
      <xdr:rowOff>142875</xdr:rowOff>
    </xdr:to>
    <xdr:sp macro="" textlink="">
      <xdr:nvSpPr>
        <xdr:cNvPr id="28" name="27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10458450" y="24955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15</xdr:col>
      <xdr:colOff>447675</xdr:colOff>
      <xdr:row>6</xdr:row>
      <xdr:rowOff>95250</xdr:rowOff>
    </xdr:from>
    <xdr:to>
      <xdr:col>16</xdr:col>
      <xdr:colOff>723900</xdr:colOff>
      <xdr:row>8</xdr:row>
      <xdr:rowOff>9525</xdr:rowOff>
    </xdr:to>
    <xdr:sp macro="" textlink="">
      <xdr:nvSpPr>
        <xdr:cNvPr id="29" name="28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11630025" y="1409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14</xdr:col>
      <xdr:colOff>47625</xdr:colOff>
      <xdr:row>8</xdr:row>
      <xdr:rowOff>38100</xdr:rowOff>
    </xdr:from>
    <xdr:to>
      <xdr:col>15</xdr:col>
      <xdr:colOff>323850</xdr:colOff>
      <xdr:row>10</xdr:row>
      <xdr:rowOff>142875</xdr:rowOff>
    </xdr:to>
    <xdr:sp macro="" textlink="">
      <xdr:nvSpPr>
        <xdr:cNvPr id="30" name="29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10467975" y="19240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15</xdr:col>
      <xdr:colOff>409575</xdr:colOff>
      <xdr:row>3</xdr:row>
      <xdr:rowOff>114300</xdr:rowOff>
    </xdr:from>
    <xdr:to>
      <xdr:col>16</xdr:col>
      <xdr:colOff>685800</xdr:colOff>
      <xdr:row>5</xdr:row>
      <xdr:rowOff>180975</xdr:rowOff>
    </xdr:to>
    <xdr:sp macro="" textlink="">
      <xdr:nvSpPr>
        <xdr:cNvPr id="31" name="30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11591925" y="8191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14</xdr:col>
      <xdr:colOff>28575</xdr:colOff>
      <xdr:row>17</xdr:row>
      <xdr:rowOff>57150</xdr:rowOff>
    </xdr:from>
    <xdr:to>
      <xdr:col>15</xdr:col>
      <xdr:colOff>304800</xdr:colOff>
      <xdr:row>19</xdr:row>
      <xdr:rowOff>161925</xdr:rowOff>
    </xdr:to>
    <xdr:sp macro="" textlink="">
      <xdr:nvSpPr>
        <xdr:cNvPr id="32" name="31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10448925" y="36576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15</xdr:col>
      <xdr:colOff>419102</xdr:colOff>
      <xdr:row>14</xdr:row>
      <xdr:rowOff>1</xdr:rowOff>
    </xdr:from>
    <xdr:to>
      <xdr:col>16</xdr:col>
      <xdr:colOff>752476</xdr:colOff>
      <xdr:row>16</xdr:row>
      <xdr:rowOff>152401</xdr:rowOff>
    </xdr:to>
    <xdr:sp macro="" textlink="">
      <xdr:nvSpPr>
        <xdr:cNvPr id="48" name="47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11601452" y="302895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14</xdr:col>
      <xdr:colOff>28575</xdr:colOff>
      <xdr:row>19</xdr:row>
      <xdr:rowOff>247650</xdr:rowOff>
    </xdr:from>
    <xdr:to>
      <xdr:col>15</xdr:col>
      <xdr:colOff>304800</xdr:colOff>
      <xdr:row>20</xdr:row>
      <xdr:rowOff>161925</xdr:rowOff>
    </xdr:to>
    <xdr:sp macro="" textlink="">
      <xdr:nvSpPr>
        <xdr:cNvPr id="49" name="48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10448925" y="4229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15</xdr:col>
      <xdr:colOff>466725</xdr:colOff>
      <xdr:row>11</xdr:row>
      <xdr:rowOff>47625</xdr:rowOff>
    </xdr:from>
    <xdr:to>
      <xdr:col>16</xdr:col>
      <xdr:colOff>742950</xdr:colOff>
      <xdr:row>13</xdr:row>
      <xdr:rowOff>152400</xdr:rowOff>
    </xdr:to>
    <xdr:sp macro="" textlink="">
      <xdr:nvSpPr>
        <xdr:cNvPr id="50" name="49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11649075" y="25050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15</xdr:col>
      <xdr:colOff>504826</xdr:colOff>
      <xdr:row>17</xdr:row>
      <xdr:rowOff>0</xdr:rowOff>
    </xdr:from>
    <xdr:to>
      <xdr:col>16</xdr:col>
      <xdr:colOff>742952</xdr:colOff>
      <xdr:row>19</xdr:row>
      <xdr:rowOff>104775</xdr:rowOff>
    </xdr:to>
    <xdr:sp macro="" textlink="">
      <xdr:nvSpPr>
        <xdr:cNvPr id="51" name="50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11687176" y="360045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15</xdr:col>
      <xdr:colOff>476250</xdr:colOff>
      <xdr:row>19</xdr:row>
      <xdr:rowOff>228600</xdr:rowOff>
    </xdr:from>
    <xdr:to>
      <xdr:col>16</xdr:col>
      <xdr:colOff>752475</xdr:colOff>
      <xdr:row>20</xdr:row>
      <xdr:rowOff>142875</xdr:rowOff>
    </xdr:to>
    <xdr:sp macro="" textlink="">
      <xdr:nvSpPr>
        <xdr:cNvPr id="52" name="51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11658600" y="42100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14</xdr:col>
      <xdr:colOff>19050</xdr:colOff>
      <xdr:row>21</xdr:row>
      <xdr:rowOff>57150</xdr:rowOff>
    </xdr:from>
    <xdr:to>
      <xdr:col>15</xdr:col>
      <xdr:colOff>295275</xdr:colOff>
      <xdr:row>23</xdr:row>
      <xdr:rowOff>161925</xdr:rowOff>
    </xdr:to>
    <xdr:sp macro="" textlink="">
      <xdr:nvSpPr>
        <xdr:cNvPr id="53" name="52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10439400" y="48006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142875</xdr:rowOff>
    </xdr:from>
    <xdr:to>
      <xdr:col>4</xdr:col>
      <xdr:colOff>0</xdr:colOff>
      <xdr:row>3</xdr:row>
      <xdr:rowOff>19050</xdr:rowOff>
    </xdr:to>
    <xdr:sp macro="" textlink="">
      <xdr:nvSpPr>
        <xdr:cNvPr id="2" name="1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5238750" y="1428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 </a:t>
          </a:r>
        </a:p>
      </xdr:txBody>
    </xdr:sp>
    <xdr:clientData/>
  </xdr:twoCellAnchor>
  <xdr:twoCellAnchor>
    <xdr:from>
      <xdr:col>4</xdr:col>
      <xdr:colOff>0</xdr:colOff>
      <xdr:row>0</xdr:row>
      <xdr:rowOff>142875</xdr:rowOff>
    </xdr:from>
    <xdr:to>
      <xdr:col>4</xdr:col>
      <xdr:colOff>0</xdr:colOff>
      <xdr:row>3</xdr:row>
      <xdr:rowOff>19050</xdr:rowOff>
    </xdr:to>
    <xdr:sp macro="" textlink="">
      <xdr:nvSpPr>
        <xdr:cNvPr id="10" name="9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6410325" y="1428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6</xdr:col>
      <xdr:colOff>276225</xdr:colOff>
      <xdr:row>5</xdr:row>
      <xdr:rowOff>28575</xdr:rowOff>
    </xdr:to>
    <xdr:sp macro="" textlink="">
      <xdr:nvSpPr>
        <xdr:cNvPr id="33" name="32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5295900" y="4191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5</xdr:col>
      <xdr:colOff>38100</xdr:colOff>
      <xdr:row>5</xdr:row>
      <xdr:rowOff>95250</xdr:rowOff>
    </xdr:from>
    <xdr:to>
      <xdr:col>6</xdr:col>
      <xdr:colOff>314325</xdr:colOff>
      <xdr:row>8</xdr:row>
      <xdr:rowOff>9525</xdr:rowOff>
    </xdr:to>
    <xdr:sp macro="" textlink="">
      <xdr:nvSpPr>
        <xdr:cNvPr id="34" name="33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5334000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6</xdr:col>
      <xdr:colOff>466725</xdr:colOff>
      <xdr:row>8</xdr:row>
      <xdr:rowOff>114300</xdr:rowOff>
    </xdr:from>
    <xdr:to>
      <xdr:col>7</xdr:col>
      <xdr:colOff>742950</xdr:colOff>
      <xdr:row>11</xdr:row>
      <xdr:rowOff>28575</xdr:rowOff>
    </xdr:to>
    <xdr:sp macro="" textlink="">
      <xdr:nvSpPr>
        <xdr:cNvPr id="35" name="34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6524625" y="16764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5</xdr:col>
      <xdr:colOff>28575</xdr:colOff>
      <xdr:row>14</xdr:row>
      <xdr:rowOff>85725</xdr:rowOff>
    </xdr:from>
    <xdr:to>
      <xdr:col>6</xdr:col>
      <xdr:colOff>304800</xdr:colOff>
      <xdr:row>17</xdr:row>
      <xdr:rowOff>0</xdr:rowOff>
    </xdr:to>
    <xdr:sp macro="" textlink="">
      <xdr:nvSpPr>
        <xdr:cNvPr id="36" name="35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5324475" y="27908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5</xdr:col>
      <xdr:colOff>38100</xdr:colOff>
      <xdr:row>11</xdr:row>
      <xdr:rowOff>76200</xdr:rowOff>
    </xdr:from>
    <xdr:to>
      <xdr:col>6</xdr:col>
      <xdr:colOff>314325</xdr:colOff>
      <xdr:row>13</xdr:row>
      <xdr:rowOff>180975</xdr:rowOff>
    </xdr:to>
    <xdr:sp macro="" textlink="">
      <xdr:nvSpPr>
        <xdr:cNvPr id="37" name="36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5334000" y="22098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6</xdr:col>
      <xdr:colOff>447675</xdr:colOff>
      <xdr:row>5</xdr:row>
      <xdr:rowOff>133350</xdr:rowOff>
    </xdr:from>
    <xdr:to>
      <xdr:col>7</xdr:col>
      <xdr:colOff>723900</xdr:colOff>
      <xdr:row>8</xdr:row>
      <xdr:rowOff>47625</xdr:rowOff>
    </xdr:to>
    <xdr:sp macro="" textlink="">
      <xdr:nvSpPr>
        <xdr:cNvPr id="38" name="37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6505575" y="11239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5</xdr:col>
      <xdr:colOff>47625</xdr:colOff>
      <xdr:row>8</xdr:row>
      <xdr:rowOff>76200</xdr:rowOff>
    </xdr:from>
    <xdr:to>
      <xdr:col>6</xdr:col>
      <xdr:colOff>323850</xdr:colOff>
      <xdr:row>10</xdr:row>
      <xdr:rowOff>180975</xdr:rowOff>
    </xdr:to>
    <xdr:sp macro="" textlink="">
      <xdr:nvSpPr>
        <xdr:cNvPr id="39" name="38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5343525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6</xdr:col>
      <xdr:colOff>409575</xdr:colOff>
      <xdr:row>2</xdr:row>
      <xdr:rowOff>114300</xdr:rowOff>
    </xdr:from>
    <xdr:to>
      <xdr:col>7</xdr:col>
      <xdr:colOff>685800</xdr:colOff>
      <xdr:row>5</xdr:row>
      <xdr:rowOff>28575</xdr:rowOff>
    </xdr:to>
    <xdr:sp macro="" textlink="">
      <xdr:nvSpPr>
        <xdr:cNvPr id="40" name="39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6467475" y="5334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5</xdr:col>
      <xdr:colOff>28575</xdr:colOff>
      <xdr:row>17</xdr:row>
      <xdr:rowOff>95250</xdr:rowOff>
    </xdr:from>
    <xdr:to>
      <xdr:col>6</xdr:col>
      <xdr:colOff>304800</xdr:colOff>
      <xdr:row>20</xdr:row>
      <xdr:rowOff>9525</xdr:rowOff>
    </xdr:to>
    <xdr:sp macro="" textlink="">
      <xdr:nvSpPr>
        <xdr:cNvPr id="41" name="40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5324475" y="3371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6</xdr:col>
      <xdr:colOff>419102</xdr:colOff>
      <xdr:row>14</xdr:row>
      <xdr:rowOff>38101</xdr:rowOff>
    </xdr:from>
    <xdr:to>
      <xdr:col>7</xdr:col>
      <xdr:colOff>752476</xdr:colOff>
      <xdr:row>17</xdr:row>
      <xdr:rowOff>1</xdr:rowOff>
    </xdr:to>
    <xdr:sp macro="" textlink="">
      <xdr:nvSpPr>
        <xdr:cNvPr id="42" name="41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6477002" y="27432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5</xdr:col>
      <xdr:colOff>28575</xdr:colOff>
      <xdr:row>20</xdr:row>
      <xdr:rowOff>95250</xdr:rowOff>
    </xdr:from>
    <xdr:to>
      <xdr:col>6</xdr:col>
      <xdr:colOff>304800</xdr:colOff>
      <xdr:row>23</xdr:row>
      <xdr:rowOff>9525</xdr:rowOff>
    </xdr:to>
    <xdr:sp macro="" textlink="">
      <xdr:nvSpPr>
        <xdr:cNvPr id="43" name="42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5324475" y="39433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6</xdr:col>
      <xdr:colOff>466725</xdr:colOff>
      <xdr:row>11</xdr:row>
      <xdr:rowOff>85725</xdr:rowOff>
    </xdr:from>
    <xdr:to>
      <xdr:col>7</xdr:col>
      <xdr:colOff>742950</xdr:colOff>
      <xdr:row>14</xdr:row>
      <xdr:rowOff>0</xdr:rowOff>
    </xdr:to>
    <xdr:sp macro="" textlink="">
      <xdr:nvSpPr>
        <xdr:cNvPr id="44" name="43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6524625" y="22193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6</xdr:col>
      <xdr:colOff>504826</xdr:colOff>
      <xdr:row>17</xdr:row>
      <xdr:rowOff>38100</xdr:rowOff>
    </xdr:from>
    <xdr:to>
      <xdr:col>7</xdr:col>
      <xdr:colOff>742952</xdr:colOff>
      <xdr:row>19</xdr:row>
      <xdr:rowOff>142875</xdr:rowOff>
    </xdr:to>
    <xdr:sp macro="" textlink="">
      <xdr:nvSpPr>
        <xdr:cNvPr id="45" name="44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6562726" y="33147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6</xdr:col>
      <xdr:colOff>476250</xdr:colOff>
      <xdr:row>20</xdr:row>
      <xdr:rowOff>76200</xdr:rowOff>
    </xdr:from>
    <xdr:to>
      <xdr:col>7</xdr:col>
      <xdr:colOff>752475</xdr:colOff>
      <xdr:row>22</xdr:row>
      <xdr:rowOff>180975</xdr:rowOff>
    </xdr:to>
    <xdr:sp macro="" textlink="">
      <xdr:nvSpPr>
        <xdr:cNvPr id="46" name="45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6534150" y="3924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5</xdr:col>
      <xdr:colOff>19050</xdr:colOff>
      <xdr:row>23</xdr:row>
      <xdr:rowOff>95250</xdr:rowOff>
    </xdr:from>
    <xdr:to>
      <xdr:col>6</xdr:col>
      <xdr:colOff>295275</xdr:colOff>
      <xdr:row>26</xdr:row>
      <xdr:rowOff>9525</xdr:rowOff>
    </xdr:to>
    <xdr:sp macro="" textlink="">
      <xdr:nvSpPr>
        <xdr:cNvPr id="47" name="46 Proceso alternativ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5314950" y="4514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276225</xdr:colOff>
      <xdr:row>5</xdr:row>
      <xdr:rowOff>28575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5534025" y="3810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5</xdr:col>
      <xdr:colOff>38100</xdr:colOff>
      <xdr:row>5</xdr:row>
      <xdr:rowOff>95250</xdr:rowOff>
    </xdr:from>
    <xdr:to>
      <xdr:col>6</xdr:col>
      <xdr:colOff>314325</xdr:colOff>
      <xdr:row>8</xdr:row>
      <xdr:rowOff>9525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5572125" y="1047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6</xdr:col>
      <xdr:colOff>466725</xdr:colOff>
      <xdr:row>8</xdr:row>
      <xdr:rowOff>114300</xdr:rowOff>
    </xdr:from>
    <xdr:to>
      <xdr:col>7</xdr:col>
      <xdr:colOff>742950</xdr:colOff>
      <xdr:row>11</xdr:row>
      <xdr:rowOff>28575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6762750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5</xdr:col>
      <xdr:colOff>28575</xdr:colOff>
      <xdr:row>14</xdr:row>
      <xdr:rowOff>85725</xdr:rowOff>
    </xdr:from>
    <xdr:to>
      <xdr:col>6</xdr:col>
      <xdr:colOff>304800</xdr:colOff>
      <xdr:row>17</xdr:row>
      <xdr:rowOff>0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5562600" y="2752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5</xdr:col>
      <xdr:colOff>38100</xdr:colOff>
      <xdr:row>11</xdr:row>
      <xdr:rowOff>76200</xdr:rowOff>
    </xdr:from>
    <xdr:to>
      <xdr:col>6</xdr:col>
      <xdr:colOff>314325</xdr:colOff>
      <xdr:row>13</xdr:row>
      <xdr:rowOff>180975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5572125" y="2171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6</xdr:col>
      <xdr:colOff>447675</xdr:colOff>
      <xdr:row>5</xdr:row>
      <xdr:rowOff>133350</xdr:rowOff>
    </xdr:from>
    <xdr:to>
      <xdr:col>7</xdr:col>
      <xdr:colOff>723900</xdr:colOff>
      <xdr:row>8</xdr:row>
      <xdr:rowOff>47625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6743700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5</xdr:col>
      <xdr:colOff>47625</xdr:colOff>
      <xdr:row>8</xdr:row>
      <xdr:rowOff>76200</xdr:rowOff>
    </xdr:from>
    <xdr:to>
      <xdr:col>6</xdr:col>
      <xdr:colOff>323850</xdr:colOff>
      <xdr:row>10</xdr:row>
      <xdr:rowOff>180975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5581650" y="1600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6</xdr:col>
      <xdr:colOff>409575</xdr:colOff>
      <xdr:row>2</xdr:row>
      <xdr:rowOff>114300</xdr:rowOff>
    </xdr:from>
    <xdr:to>
      <xdr:col>7</xdr:col>
      <xdr:colOff>685800</xdr:colOff>
      <xdr:row>5</xdr:row>
      <xdr:rowOff>28575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6705600" y="495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5</xdr:col>
      <xdr:colOff>28575</xdr:colOff>
      <xdr:row>17</xdr:row>
      <xdr:rowOff>95250</xdr:rowOff>
    </xdr:from>
    <xdr:to>
      <xdr:col>6</xdr:col>
      <xdr:colOff>304800</xdr:colOff>
      <xdr:row>20</xdr:row>
      <xdr:rowOff>9525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5562600" y="3333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6</xdr:col>
      <xdr:colOff>419102</xdr:colOff>
      <xdr:row>14</xdr:row>
      <xdr:rowOff>38101</xdr:rowOff>
    </xdr:from>
    <xdr:to>
      <xdr:col>7</xdr:col>
      <xdr:colOff>752476</xdr:colOff>
      <xdr:row>17</xdr:row>
      <xdr:rowOff>1</xdr:rowOff>
    </xdr:to>
    <xdr:sp macro="" textlink="">
      <xdr:nvSpPr>
        <xdr:cNvPr id="41" name="40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6715127" y="27051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5</xdr:col>
      <xdr:colOff>28575</xdr:colOff>
      <xdr:row>20</xdr:row>
      <xdr:rowOff>95250</xdr:rowOff>
    </xdr:from>
    <xdr:to>
      <xdr:col>6</xdr:col>
      <xdr:colOff>304800</xdr:colOff>
      <xdr:row>23</xdr:row>
      <xdr:rowOff>9525</xdr:rowOff>
    </xdr:to>
    <xdr:sp macro="" textlink="">
      <xdr:nvSpPr>
        <xdr:cNvPr id="42" name="41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5562600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6</xdr:col>
      <xdr:colOff>466725</xdr:colOff>
      <xdr:row>11</xdr:row>
      <xdr:rowOff>85725</xdr:rowOff>
    </xdr:from>
    <xdr:to>
      <xdr:col>7</xdr:col>
      <xdr:colOff>742950</xdr:colOff>
      <xdr:row>14</xdr:row>
      <xdr:rowOff>0</xdr:rowOff>
    </xdr:to>
    <xdr:sp macro="" textlink="">
      <xdr:nvSpPr>
        <xdr:cNvPr id="43" name="42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6762750" y="2181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6</xdr:col>
      <xdr:colOff>504826</xdr:colOff>
      <xdr:row>17</xdr:row>
      <xdr:rowOff>38100</xdr:rowOff>
    </xdr:from>
    <xdr:to>
      <xdr:col>7</xdr:col>
      <xdr:colOff>742952</xdr:colOff>
      <xdr:row>19</xdr:row>
      <xdr:rowOff>142875</xdr:rowOff>
    </xdr:to>
    <xdr:sp macro="" textlink="">
      <xdr:nvSpPr>
        <xdr:cNvPr id="44" name="43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6800851" y="32766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6</xdr:col>
      <xdr:colOff>476250</xdr:colOff>
      <xdr:row>20</xdr:row>
      <xdr:rowOff>76200</xdr:rowOff>
    </xdr:from>
    <xdr:to>
      <xdr:col>7</xdr:col>
      <xdr:colOff>752475</xdr:colOff>
      <xdr:row>22</xdr:row>
      <xdr:rowOff>180975</xdr:rowOff>
    </xdr:to>
    <xdr:sp macro="" textlink="">
      <xdr:nvSpPr>
        <xdr:cNvPr id="45" name="44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6772275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5</xdr:col>
      <xdr:colOff>19050</xdr:colOff>
      <xdr:row>23</xdr:row>
      <xdr:rowOff>95250</xdr:rowOff>
    </xdr:from>
    <xdr:to>
      <xdr:col>6</xdr:col>
      <xdr:colOff>295275</xdr:colOff>
      <xdr:row>26</xdr:row>
      <xdr:rowOff>9525</xdr:rowOff>
    </xdr:to>
    <xdr:sp macro="" textlink="">
      <xdr:nvSpPr>
        <xdr:cNvPr id="46" name="45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5553075" y="4476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123825</xdr:rowOff>
    </xdr:from>
    <xdr:to>
      <xdr:col>3</xdr:col>
      <xdr:colOff>0</xdr:colOff>
      <xdr:row>3</xdr:row>
      <xdr:rowOff>38100</xdr:rowOff>
    </xdr:to>
    <xdr:sp macro="" textlink="">
      <xdr:nvSpPr>
        <xdr:cNvPr id="2" name="1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5724525" y="1238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 </a:t>
          </a:r>
        </a:p>
      </xdr:txBody>
    </xdr:sp>
    <xdr:clientData/>
  </xdr:twoCellAnchor>
  <xdr:twoCellAnchor>
    <xdr:from>
      <xdr:col>3</xdr:col>
      <xdr:colOff>0</xdr:colOff>
      <xdr:row>0</xdr:row>
      <xdr:rowOff>123825</xdr:rowOff>
    </xdr:from>
    <xdr:to>
      <xdr:col>3</xdr:col>
      <xdr:colOff>0</xdr:colOff>
      <xdr:row>3</xdr:row>
      <xdr:rowOff>38100</xdr:rowOff>
    </xdr:to>
    <xdr:sp macro="" textlink="">
      <xdr:nvSpPr>
        <xdr:cNvPr id="10" name="9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6896100" y="1238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6</xdr:col>
      <xdr:colOff>276225</xdr:colOff>
      <xdr:row>5</xdr:row>
      <xdr:rowOff>28575</xdr:rowOff>
    </xdr:to>
    <xdr:sp macro="" textlink="">
      <xdr:nvSpPr>
        <xdr:cNvPr id="33" name="32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5276850" y="381000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5</xdr:col>
      <xdr:colOff>38100</xdr:colOff>
      <xdr:row>5</xdr:row>
      <xdr:rowOff>95250</xdr:rowOff>
    </xdr:from>
    <xdr:to>
      <xdr:col>6</xdr:col>
      <xdr:colOff>314325</xdr:colOff>
      <xdr:row>8</xdr:row>
      <xdr:rowOff>9525</xdr:rowOff>
    </xdr:to>
    <xdr:sp macro="" textlink="">
      <xdr:nvSpPr>
        <xdr:cNvPr id="34" name="33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5314950" y="1047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6</xdr:col>
      <xdr:colOff>466725</xdr:colOff>
      <xdr:row>8</xdr:row>
      <xdr:rowOff>114300</xdr:rowOff>
    </xdr:from>
    <xdr:to>
      <xdr:col>7</xdr:col>
      <xdr:colOff>742950</xdr:colOff>
      <xdr:row>11</xdr:row>
      <xdr:rowOff>28575</xdr:rowOff>
    </xdr:to>
    <xdr:sp macro="" textlink="">
      <xdr:nvSpPr>
        <xdr:cNvPr id="35" name="34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6505575" y="1638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5</xdr:col>
      <xdr:colOff>28575</xdr:colOff>
      <xdr:row>14</xdr:row>
      <xdr:rowOff>76200</xdr:rowOff>
    </xdr:from>
    <xdr:to>
      <xdr:col>6</xdr:col>
      <xdr:colOff>304800</xdr:colOff>
      <xdr:row>16</xdr:row>
      <xdr:rowOff>180975</xdr:rowOff>
    </xdr:to>
    <xdr:sp macro="" textlink="">
      <xdr:nvSpPr>
        <xdr:cNvPr id="36" name="35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5305425" y="27527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5</xdr:col>
      <xdr:colOff>38100</xdr:colOff>
      <xdr:row>11</xdr:row>
      <xdr:rowOff>76200</xdr:rowOff>
    </xdr:from>
    <xdr:to>
      <xdr:col>6</xdr:col>
      <xdr:colOff>314325</xdr:colOff>
      <xdr:row>13</xdr:row>
      <xdr:rowOff>171450</xdr:rowOff>
    </xdr:to>
    <xdr:sp macro="" textlink="">
      <xdr:nvSpPr>
        <xdr:cNvPr id="37" name="36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5314950" y="21717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TABLA DE AMORTIZACIÓN </a:t>
          </a:r>
        </a:p>
      </xdr:txBody>
    </xdr:sp>
    <xdr:clientData/>
  </xdr:twoCellAnchor>
  <xdr:twoCellAnchor>
    <xdr:from>
      <xdr:col>6</xdr:col>
      <xdr:colOff>447675</xdr:colOff>
      <xdr:row>5</xdr:row>
      <xdr:rowOff>133350</xdr:rowOff>
    </xdr:from>
    <xdr:to>
      <xdr:col>7</xdr:col>
      <xdr:colOff>723900</xdr:colOff>
      <xdr:row>8</xdr:row>
      <xdr:rowOff>47625</xdr:rowOff>
    </xdr:to>
    <xdr:sp macro="" textlink="">
      <xdr:nvSpPr>
        <xdr:cNvPr id="38" name="37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6486525" y="10858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5</xdr:col>
      <xdr:colOff>47625</xdr:colOff>
      <xdr:row>8</xdr:row>
      <xdr:rowOff>76200</xdr:rowOff>
    </xdr:from>
    <xdr:to>
      <xdr:col>6</xdr:col>
      <xdr:colOff>323850</xdr:colOff>
      <xdr:row>10</xdr:row>
      <xdr:rowOff>180975</xdr:rowOff>
    </xdr:to>
    <xdr:sp macro="" textlink="">
      <xdr:nvSpPr>
        <xdr:cNvPr id="39" name="38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5324475" y="1600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6</xdr:col>
      <xdr:colOff>409575</xdr:colOff>
      <xdr:row>2</xdr:row>
      <xdr:rowOff>114300</xdr:rowOff>
    </xdr:from>
    <xdr:to>
      <xdr:col>7</xdr:col>
      <xdr:colOff>685800</xdr:colOff>
      <xdr:row>5</xdr:row>
      <xdr:rowOff>28575</xdr:rowOff>
    </xdr:to>
    <xdr:sp macro="" textlink="">
      <xdr:nvSpPr>
        <xdr:cNvPr id="40" name="39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6448425" y="4953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5</xdr:col>
      <xdr:colOff>28575</xdr:colOff>
      <xdr:row>17</xdr:row>
      <xdr:rowOff>85725</xdr:rowOff>
    </xdr:from>
    <xdr:to>
      <xdr:col>6</xdr:col>
      <xdr:colOff>304800</xdr:colOff>
      <xdr:row>20</xdr:row>
      <xdr:rowOff>0</xdr:rowOff>
    </xdr:to>
    <xdr:sp macro="" textlink="">
      <xdr:nvSpPr>
        <xdr:cNvPr id="41" name="40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5305425" y="3333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6</xdr:col>
      <xdr:colOff>419102</xdr:colOff>
      <xdr:row>14</xdr:row>
      <xdr:rowOff>28576</xdr:rowOff>
    </xdr:from>
    <xdr:to>
      <xdr:col>7</xdr:col>
      <xdr:colOff>752476</xdr:colOff>
      <xdr:row>16</xdr:row>
      <xdr:rowOff>180976</xdr:rowOff>
    </xdr:to>
    <xdr:sp macro="" textlink="">
      <xdr:nvSpPr>
        <xdr:cNvPr id="42" name="41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6457952" y="2705101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5</xdr:col>
      <xdr:colOff>28575</xdr:colOff>
      <xdr:row>20</xdr:row>
      <xdr:rowOff>85725</xdr:rowOff>
    </xdr:from>
    <xdr:to>
      <xdr:col>6</xdr:col>
      <xdr:colOff>304800</xdr:colOff>
      <xdr:row>23</xdr:row>
      <xdr:rowOff>0</xdr:rowOff>
    </xdr:to>
    <xdr:sp macro="" textlink="">
      <xdr:nvSpPr>
        <xdr:cNvPr id="43" name="42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5305425" y="39052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6</xdr:col>
      <xdr:colOff>466725</xdr:colOff>
      <xdr:row>11</xdr:row>
      <xdr:rowOff>85725</xdr:rowOff>
    </xdr:from>
    <xdr:to>
      <xdr:col>7</xdr:col>
      <xdr:colOff>742950</xdr:colOff>
      <xdr:row>13</xdr:row>
      <xdr:rowOff>180975</xdr:rowOff>
    </xdr:to>
    <xdr:sp macro="" textlink="">
      <xdr:nvSpPr>
        <xdr:cNvPr id="44" name="43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6505575" y="2181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6</xdr:col>
      <xdr:colOff>504826</xdr:colOff>
      <xdr:row>17</xdr:row>
      <xdr:rowOff>28575</xdr:rowOff>
    </xdr:from>
    <xdr:to>
      <xdr:col>7</xdr:col>
      <xdr:colOff>742952</xdr:colOff>
      <xdr:row>19</xdr:row>
      <xdr:rowOff>133350</xdr:rowOff>
    </xdr:to>
    <xdr:sp macro="" textlink="">
      <xdr:nvSpPr>
        <xdr:cNvPr id="45" name="44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6543676" y="3276600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6</xdr:col>
      <xdr:colOff>476250</xdr:colOff>
      <xdr:row>20</xdr:row>
      <xdr:rowOff>66675</xdr:rowOff>
    </xdr:from>
    <xdr:to>
      <xdr:col>7</xdr:col>
      <xdr:colOff>752475</xdr:colOff>
      <xdr:row>22</xdr:row>
      <xdr:rowOff>171450</xdr:rowOff>
    </xdr:to>
    <xdr:sp macro="" textlink="">
      <xdr:nvSpPr>
        <xdr:cNvPr id="46" name="45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6515100" y="38862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5</xdr:col>
      <xdr:colOff>19050</xdr:colOff>
      <xdr:row>23</xdr:row>
      <xdr:rowOff>85725</xdr:rowOff>
    </xdr:from>
    <xdr:to>
      <xdr:col>6</xdr:col>
      <xdr:colOff>295275</xdr:colOff>
      <xdr:row>26</xdr:row>
      <xdr:rowOff>0</xdr:rowOff>
    </xdr:to>
    <xdr:sp macro="" textlink="">
      <xdr:nvSpPr>
        <xdr:cNvPr id="47" name="46 Proceso alternativ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5295900" y="447675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10</xdr:col>
      <xdr:colOff>276225</xdr:colOff>
      <xdr:row>6</xdr:row>
      <xdr:rowOff>57150</xdr:rowOff>
    </xdr:to>
    <xdr:sp macro="" textlink="">
      <xdr:nvSpPr>
        <xdr:cNvPr id="17" name="16 Proceso alternativ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677275" y="714375"/>
          <a:ext cx="1038225" cy="6000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DESCRIPCIÓN DEL PRODUCTO</a:t>
          </a:r>
        </a:p>
      </xdr:txBody>
    </xdr:sp>
    <xdr:clientData/>
  </xdr:twoCellAnchor>
  <xdr:twoCellAnchor>
    <xdr:from>
      <xdr:col>9</xdr:col>
      <xdr:colOff>38100</xdr:colOff>
      <xdr:row>6</xdr:row>
      <xdr:rowOff>123825</xdr:rowOff>
    </xdr:from>
    <xdr:to>
      <xdr:col>10</xdr:col>
      <xdr:colOff>314325</xdr:colOff>
      <xdr:row>9</xdr:row>
      <xdr:rowOff>66675</xdr:rowOff>
    </xdr:to>
    <xdr:sp macro="" textlink="">
      <xdr:nvSpPr>
        <xdr:cNvPr id="33" name="32 Proceso alternativ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8715375" y="13811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ROL DE PAGOS </a:t>
          </a:r>
        </a:p>
      </xdr:txBody>
    </xdr:sp>
    <xdr:clientData/>
  </xdr:twoCellAnchor>
  <xdr:twoCellAnchor>
    <xdr:from>
      <xdr:col>10</xdr:col>
      <xdr:colOff>466725</xdr:colOff>
      <xdr:row>9</xdr:row>
      <xdr:rowOff>171450</xdr:rowOff>
    </xdr:from>
    <xdr:to>
      <xdr:col>11</xdr:col>
      <xdr:colOff>742950</xdr:colOff>
      <xdr:row>12</xdr:row>
      <xdr:rowOff>114300</xdr:rowOff>
    </xdr:to>
    <xdr:sp macro="" textlink="">
      <xdr:nvSpPr>
        <xdr:cNvPr id="34" name="33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9906000" y="19716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INGRESOS</a:t>
          </a:r>
        </a:p>
      </xdr:txBody>
    </xdr:sp>
    <xdr:clientData/>
  </xdr:twoCellAnchor>
  <xdr:twoCellAnchor>
    <xdr:from>
      <xdr:col>9</xdr:col>
      <xdr:colOff>28575</xdr:colOff>
      <xdr:row>16</xdr:row>
      <xdr:rowOff>19050</xdr:rowOff>
    </xdr:from>
    <xdr:to>
      <xdr:col>10</xdr:col>
      <xdr:colOff>304800</xdr:colOff>
      <xdr:row>18</xdr:row>
      <xdr:rowOff>142875</xdr:rowOff>
    </xdr:to>
    <xdr:sp macro="" textlink="">
      <xdr:nvSpPr>
        <xdr:cNvPr id="35" name="34 Proceso altern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8705850" y="30861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EGRESOS</a:t>
          </a:r>
        </a:p>
      </xdr:txBody>
    </xdr:sp>
    <xdr:clientData/>
  </xdr:twoCellAnchor>
  <xdr:twoCellAnchor>
    <xdr:from>
      <xdr:col>9</xdr:col>
      <xdr:colOff>38100</xdr:colOff>
      <xdr:row>12</xdr:row>
      <xdr:rowOff>161925</xdr:rowOff>
    </xdr:from>
    <xdr:to>
      <xdr:col>10</xdr:col>
      <xdr:colOff>314325</xdr:colOff>
      <xdr:row>15</xdr:row>
      <xdr:rowOff>104775</xdr:rowOff>
    </xdr:to>
    <xdr:sp macro="" textlink="">
      <xdr:nvSpPr>
        <xdr:cNvPr id="36" name="35 Proceso alternativ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>
          <a:off x="8715375" y="25050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DATOS Y SUPUESTOS</a:t>
          </a:r>
        </a:p>
      </xdr:txBody>
    </xdr:sp>
    <xdr:clientData/>
  </xdr:twoCellAnchor>
  <xdr:twoCellAnchor>
    <xdr:from>
      <xdr:col>10</xdr:col>
      <xdr:colOff>447675</xdr:colOff>
      <xdr:row>6</xdr:row>
      <xdr:rowOff>161925</xdr:rowOff>
    </xdr:from>
    <xdr:to>
      <xdr:col>11</xdr:col>
      <xdr:colOff>723900</xdr:colOff>
      <xdr:row>9</xdr:row>
      <xdr:rowOff>104775</xdr:rowOff>
    </xdr:to>
    <xdr:sp macro="" textlink="">
      <xdr:nvSpPr>
        <xdr:cNvPr id="37" name="36 Proceso alternativ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>
          <a:off x="9886950" y="14192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CAPITAL DE TRABAJO</a:t>
          </a:r>
        </a:p>
      </xdr:txBody>
    </xdr:sp>
    <xdr:clientData/>
  </xdr:twoCellAnchor>
  <xdr:twoCellAnchor>
    <xdr:from>
      <xdr:col>9</xdr:col>
      <xdr:colOff>47625</xdr:colOff>
      <xdr:row>9</xdr:row>
      <xdr:rowOff>133350</xdr:rowOff>
    </xdr:from>
    <xdr:to>
      <xdr:col>10</xdr:col>
      <xdr:colOff>323850</xdr:colOff>
      <xdr:row>12</xdr:row>
      <xdr:rowOff>76200</xdr:rowOff>
    </xdr:to>
    <xdr:sp macro="" textlink="">
      <xdr:nvSpPr>
        <xdr:cNvPr id="38" name="37 Proceso alternativ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>
          <a:off x="8724900" y="19335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MATRIZ DE FINANCIAMIENTO</a:t>
          </a:r>
        </a:p>
      </xdr:txBody>
    </xdr:sp>
    <xdr:clientData/>
  </xdr:twoCellAnchor>
  <xdr:twoCellAnchor>
    <xdr:from>
      <xdr:col>10</xdr:col>
      <xdr:colOff>409575</xdr:colOff>
      <xdr:row>3</xdr:row>
      <xdr:rowOff>114300</xdr:rowOff>
    </xdr:from>
    <xdr:to>
      <xdr:col>11</xdr:col>
      <xdr:colOff>685800</xdr:colOff>
      <xdr:row>6</xdr:row>
      <xdr:rowOff>57150</xdr:rowOff>
    </xdr:to>
    <xdr:sp macro="" textlink="">
      <xdr:nvSpPr>
        <xdr:cNvPr id="39" name="38 Proceso alternativ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>
          <a:off x="9848850" y="8286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MATRI Z DE INVERSIONES </a:t>
          </a:r>
        </a:p>
      </xdr:txBody>
    </xdr:sp>
    <xdr:clientData/>
  </xdr:twoCellAnchor>
  <xdr:twoCellAnchor>
    <xdr:from>
      <xdr:col>9</xdr:col>
      <xdr:colOff>28575</xdr:colOff>
      <xdr:row>19</xdr:row>
      <xdr:rowOff>57150</xdr:rowOff>
    </xdr:from>
    <xdr:to>
      <xdr:col>10</xdr:col>
      <xdr:colOff>304800</xdr:colOff>
      <xdr:row>22</xdr:row>
      <xdr:rowOff>0</xdr:rowOff>
    </xdr:to>
    <xdr:sp macro="" textlink="">
      <xdr:nvSpPr>
        <xdr:cNvPr id="40" name="39 Proceso alternativ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>
          <a:off x="8705850" y="36671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FLUJO ECONÓMICO</a:t>
          </a:r>
        </a:p>
      </xdr:txBody>
    </xdr:sp>
    <xdr:clientData/>
  </xdr:twoCellAnchor>
  <xdr:twoCellAnchor>
    <xdr:from>
      <xdr:col>10</xdr:col>
      <xdr:colOff>419102</xdr:colOff>
      <xdr:row>15</xdr:row>
      <xdr:rowOff>152401</xdr:rowOff>
    </xdr:from>
    <xdr:to>
      <xdr:col>11</xdr:col>
      <xdr:colOff>752476</xdr:colOff>
      <xdr:row>18</xdr:row>
      <xdr:rowOff>142876</xdr:rowOff>
    </xdr:to>
    <xdr:sp macro="" textlink="">
      <xdr:nvSpPr>
        <xdr:cNvPr id="41" name="40 Proceso alternativ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9858377" y="3038476"/>
          <a:ext cx="1095374" cy="5334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C" sz="800" b="1">
              <a:latin typeface="Cambria" pitchFamily="18" charset="0"/>
            </a:rPr>
            <a:t>DEPRECIACIÓN / AMORTIZACIÓN</a:t>
          </a:r>
        </a:p>
      </xdr:txBody>
    </xdr:sp>
    <xdr:clientData/>
  </xdr:twoCellAnchor>
  <xdr:twoCellAnchor>
    <xdr:from>
      <xdr:col>9</xdr:col>
      <xdr:colOff>28575</xdr:colOff>
      <xdr:row>22</xdr:row>
      <xdr:rowOff>85725</xdr:rowOff>
    </xdr:from>
    <xdr:to>
      <xdr:col>10</xdr:col>
      <xdr:colOff>304800</xdr:colOff>
      <xdr:row>25</xdr:row>
      <xdr:rowOff>28575</xdr:rowOff>
    </xdr:to>
    <xdr:sp macro="" textlink="">
      <xdr:nvSpPr>
        <xdr:cNvPr id="42" name="41 Proceso alternativ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/>
      </xdr:nvSpPr>
      <xdr:spPr>
        <a:xfrm>
          <a:off x="8705850" y="42386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ESTADO DE RESULTADOS</a:t>
          </a:r>
        </a:p>
      </xdr:txBody>
    </xdr:sp>
    <xdr:clientData/>
  </xdr:twoCellAnchor>
  <xdr:twoCellAnchor>
    <xdr:from>
      <xdr:col>10</xdr:col>
      <xdr:colOff>466725</xdr:colOff>
      <xdr:row>12</xdr:row>
      <xdr:rowOff>171450</xdr:rowOff>
    </xdr:from>
    <xdr:to>
      <xdr:col>11</xdr:col>
      <xdr:colOff>742950</xdr:colOff>
      <xdr:row>15</xdr:row>
      <xdr:rowOff>114300</xdr:rowOff>
    </xdr:to>
    <xdr:sp macro="" textlink="">
      <xdr:nvSpPr>
        <xdr:cNvPr id="43" name="42 Proceso alternativ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>
          <a:off x="9906000" y="2514600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BALANCE GENERAL</a:t>
          </a:r>
        </a:p>
      </xdr:txBody>
    </xdr:sp>
    <xdr:clientData/>
  </xdr:twoCellAnchor>
  <xdr:twoCellAnchor>
    <xdr:from>
      <xdr:col>10</xdr:col>
      <xdr:colOff>504826</xdr:colOff>
      <xdr:row>19</xdr:row>
      <xdr:rowOff>0</xdr:rowOff>
    </xdr:from>
    <xdr:to>
      <xdr:col>11</xdr:col>
      <xdr:colOff>742952</xdr:colOff>
      <xdr:row>21</xdr:row>
      <xdr:rowOff>123825</xdr:rowOff>
    </xdr:to>
    <xdr:sp macro="" textlink="">
      <xdr:nvSpPr>
        <xdr:cNvPr id="44" name="43 Proceso alternativ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/>
      </xdr:nvSpPr>
      <xdr:spPr>
        <a:xfrm>
          <a:off x="9944101" y="3609975"/>
          <a:ext cx="1000126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WACC</a:t>
          </a:r>
        </a:p>
      </xdr:txBody>
    </xdr:sp>
    <xdr:clientData/>
  </xdr:twoCellAnchor>
  <xdr:twoCellAnchor>
    <xdr:from>
      <xdr:col>10</xdr:col>
      <xdr:colOff>476250</xdr:colOff>
      <xdr:row>22</xdr:row>
      <xdr:rowOff>66675</xdr:rowOff>
    </xdr:from>
    <xdr:to>
      <xdr:col>11</xdr:col>
      <xdr:colOff>752475</xdr:colOff>
      <xdr:row>25</xdr:row>
      <xdr:rowOff>9525</xdr:rowOff>
    </xdr:to>
    <xdr:sp macro="" textlink="">
      <xdr:nvSpPr>
        <xdr:cNvPr id="45" name="44 Proceso alternativ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9915525" y="421957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FINANCCIEROS</a:t>
          </a:r>
          <a:endParaRPr lang="es-EC" sz="900" b="1">
            <a:latin typeface="Cambria" pitchFamily="18" charset="0"/>
          </a:endParaRPr>
        </a:p>
      </xdr:txBody>
    </xdr:sp>
    <xdr:clientData/>
  </xdr:twoCellAnchor>
  <xdr:twoCellAnchor>
    <xdr:from>
      <xdr:col>9</xdr:col>
      <xdr:colOff>19050</xdr:colOff>
      <xdr:row>25</xdr:row>
      <xdr:rowOff>114300</xdr:rowOff>
    </xdr:from>
    <xdr:to>
      <xdr:col>10</xdr:col>
      <xdr:colOff>295275</xdr:colOff>
      <xdr:row>28</xdr:row>
      <xdr:rowOff>19050</xdr:rowOff>
    </xdr:to>
    <xdr:sp macro="" textlink="">
      <xdr:nvSpPr>
        <xdr:cNvPr id="46" name="45 Proceso alternativ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>
          <a:off x="8696325" y="4810125"/>
          <a:ext cx="1038225" cy="485775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EC" sz="900" b="1">
              <a:latin typeface="Cambria" pitchFamily="18" charset="0"/>
            </a:rPr>
            <a:t>INDICADORES</a:t>
          </a:r>
          <a:r>
            <a:rPr lang="es-EC" sz="900" b="1" baseline="0">
              <a:latin typeface="Cambria" pitchFamily="18" charset="0"/>
            </a:rPr>
            <a:t> ECONÓMICOS</a:t>
          </a:r>
          <a:endParaRPr lang="es-EC" sz="900" b="1">
            <a:latin typeface="Cambria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PC/Desktop/Simulador%20Dise&#241;o%20y%20Evalu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AUTORES"/>
      <sheetName val="ÍNDICE"/>
      <sheetName val="DESCRIPCIÓN DE LA EMPRESA"/>
      <sheetName val="SUPUESTOS DATOS"/>
      <sheetName val="ACTIVOS FIJOS"/>
      <sheetName val="ACTIVOS INTANGIBLES "/>
      <sheetName val="ROL DE PAGOS"/>
      <sheetName val="PUNTO DE EQUILBRIO"/>
      <sheetName val="PLAN DE INGRESOS"/>
      <sheetName val="PLAN DE EGRESOS"/>
      <sheetName val="PLAN DE INVERSION"/>
      <sheetName val="PLAN DE FINANCIAMIENTO"/>
      <sheetName val="BALANCE GENERAL"/>
      <sheetName val="ESTADO DE RESULTADOS"/>
      <sheetName val="FLUJO"/>
      <sheetName val="TMAR"/>
      <sheetName val="EVALUACIÓN FINANCIE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D12" t="str">
            <v>GASTO PUBLICIDAD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U1"/>
  <sheetViews>
    <sheetView view="pageLayout" zoomScale="96" zoomScaleNormal="100" zoomScalePageLayoutView="96" workbookViewId="0">
      <selection activeCell="G14" sqref="G14"/>
    </sheetView>
  </sheetViews>
  <sheetFormatPr baseColWidth="10" defaultRowHeight="15" x14ac:dyDescent="0.25"/>
  <cols>
    <col min="1" max="21" width="11.42578125" style="66"/>
  </cols>
  <sheetData/>
  <pageMargins left="0.7" right="0.7" top="0.75" bottom="0.75" header="0.3" footer="0.3"/>
  <pageSetup orientation="portrait" r:id="rId1"/>
  <headerFooter>
    <oddHeader xml:space="preserve">&amp;C.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G16"/>
  <sheetViews>
    <sheetView workbookViewId="0">
      <selection activeCell="M12" sqref="M12"/>
    </sheetView>
  </sheetViews>
  <sheetFormatPr baseColWidth="10" defaultRowHeight="15" x14ac:dyDescent="0.25"/>
  <cols>
    <col min="2" max="2" width="27.5703125" bestFit="1" customWidth="1"/>
    <col min="3" max="3" width="14.5703125" bestFit="1" customWidth="1"/>
    <col min="4" max="4" width="14.5703125" customWidth="1"/>
    <col min="5" max="5" width="14.5703125" bestFit="1" customWidth="1"/>
    <col min="6" max="6" width="15.140625" customWidth="1"/>
    <col min="7" max="7" width="14.5703125" bestFit="1" customWidth="1"/>
  </cols>
  <sheetData>
    <row r="2" spans="2:7" x14ac:dyDescent="0.25">
      <c r="B2" s="374" t="s">
        <v>196</v>
      </c>
      <c r="C2" s="375"/>
      <c r="D2" s="375"/>
      <c r="E2" s="375"/>
      <c r="F2" s="375"/>
      <c r="G2" s="376"/>
    </row>
    <row r="4" spans="2:7" x14ac:dyDescent="0.25">
      <c r="B4" s="34" t="s">
        <v>192</v>
      </c>
    </row>
    <row r="6" spans="2:7" ht="15.75" x14ac:dyDescent="0.25">
      <c r="B6" s="187" t="s">
        <v>271</v>
      </c>
      <c r="C6" s="184">
        <f>'DATOS Y SUPUESTOS '!C121</f>
        <v>120000</v>
      </c>
    </row>
    <row r="7" spans="2:7" ht="15.75" x14ac:dyDescent="0.25">
      <c r="B7" s="187" t="s">
        <v>20</v>
      </c>
      <c r="C7" s="185">
        <f>'DATOS Y SUPUESTOS '!F116</f>
        <v>1.25</v>
      </c>
    </row>
    <row r="8" spans="2:7" ht="15.75" x14ac:dyDescent="0.25">
      <c r="B8" s="187" t="s">
        <v>193</v>
      </c>
      <c r="C8" s="186">
        <f>+'DATOS Y SUPUESTOS '!G5</f>
        <v>2.7799999999999998E-2</v>
      </c>
    </row>
    <row r="11" spans="2:7" ht="18" x14ac:dyDescent="0.25">
      <c r="B11" s="373" t="s">
        <v>194</v>
      </c>
      <c r="C11" s="373"/>
      <c r="D11" s="373"/>
      <c r="E11" s="373"/>
      <c r="F11" s="373"/>
      <c r="G11" s="373"/>
    </row>
    <row r="12" spans="2:7" x14ac:dyDescent="0.25">
      <c r="B12" s="144" t="s">
        <v>195</v>
      </c>
      <c r="C12" s="144">
        <v>1</v>
      </c>
      <c r="D12" s="144">
        <v>2</v>
      </c>
      <c r="E12" s="144">
        <v>3</v>
      </c>
      <c r="F12" s="144">
        <v>4</v>
      </c>
      <c r="G12" s="144">
        <v>5</v>
      </c>
    </row>
    <row r="13" spans="2:7" x14ac:dyDescent="0.25">
      <c r="B13" s="148" t="s">
        <v>79</v>
      </c>
      <c r="C13" s="23">
        <f>C6</f>
        <v>120000</v>
      </c>
      <c r="D13" s="23">
        <f>ROUNDUP(C13+C13*'DATOS Y SUPUESTOS '!$G$6,0)</f>
        <v>121320</v>
      </c>
      <c r="E13" s="23">
        <f>ROUNDUP(D13+D13*'DATOS Y SUPUESTOS '!$G$6,0)</f>
        <v>122655</v>
      </c>
      <c r="F13" s="23">
        <f>ROUNDUP(E13+E13*'DATOS Y SUPUESTOS '!$G$6,0)</f>
        <v>124005</v>
      </c>
      <c r="G13" s="23">
        <f>ROUNDUP(F13+F13*'DATOS Y SUPUESTOS '!$G$6,0)</f>
        <v>125370</v>
      </c>
    </row>
    <row r="14" spans="2:7" x14ac:dyDescent="0.25">
      <c r="B14" s="148" t="s">
        <v>19</v>
      </c>
      <c r="C14" s="40">
        <f>+C7</f>
        <v>1.25</v>
      </c>
      <c r="D14" s="40">
        <f>C14+C14*$C$8</f>
        <v>1.2847500000000001</v>
      </c>
      <c r="E14" s="40">
        <f>D14+D14*$C$8</f>
        <v>1.3204660500000001</v>
      </c>
      <c r="F14" s="40">
        <f>E14+E14*$C$8</f>
        <v>1.3571750061900001</v>
      </c>
      <c r="G14" s="40">
        <f>F14+F14*$C$8</f>
        <v>1.3949044713620822</v>
      </c>
    </row>
    <row r="15" spans="2:7" x14ac:dyDescent="0.25">
      <c r="B15" s="148" t="s">
        <v>97</v>
      </c>
      <c r="C15" s="40">
        <f>SUM(C13*C14)</f>
        <v>150000</v>
      </c>
      <c r="D15" s="40">
        <f>SUM(D13*D14)</f>
        <v>155865.87</v>
      </c>
      <c r="E15" s="40">
        <f>SUM(E13*E14)</f>
        <v>161961.76336275</v>
      </c>
      <c r="F15" s="40">
        <f>SUM(F13*F14)</f>
        <v>168296.48664259096</v>
      </c>
      <c r="G15" s="40">
        <f>SUM(G13*G14)</f>
        <v>174879.17357466425</v>
      </c>
    </row>
    <row r="16" spans="2:7" x14ac:dyDescent="0.25">
      <c r="B16" s="60"/>
    </row>
  </sheetData>
  <mergeCells count="2">
    <mergeCell ref="B11:G11"/>
    <mergeCell ref="B2:G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3:D14"/>
  <sheetViews>
    <sheetView workbookViewId="0"/>
  </sheetViews>
  <sheetFormatPr baseColWidth="10" defaultRowHeight="15" x14ac:dyDescent="0.25"/>
  <cols>
    <col min="2" max="2" width="32.7109375" customWidth="1"/>
    <col min="3" max="3" width="13.7109375" customWidth="1"/>
    <col min="4" max="4" width="17.28515625" customWidth="1"/>
  </cols>
  <sheetData>
    <row r="3" spans="2:4" ht="18" x14ac:dyDescent="0.25">
      <c r="B3" s="377" t="s">
        <v>197</v>
      </c>
      <c r="C3" s="377"/>
      <c r="D3" s="377"/>
    </row>
    <row r="4" spans="2:4" ht="18" x14ac:dyDescent="0.25">
      <c r="B4" s="41"/>
    </row>
    <row r="5" spans="2:4" ht="15.75" x14ac:dyDescent="0.25">
      <c r="B5" s="188" t="s">
        <v>5</v>
      </c>
      <c r="C5" s="188" t="s">
        <v>200</v>
      </c>
      <c r="D5" s="188" t="s">
        <v>201</v>
      </c>
    </row>
    <row r="6" spans="2:4" x14ac:dyDescent="0.25">
      <c r="B6" s="2" t="s">
        <v>198</v>
      </c>
      <c r="C6" s="9">
        <f>'ROL DE PAGOS '!E33</f>
        <v>2203.1799999999998</v>
      </c>
      <c r="D6" s="9">
        <f>SUM(C6*12)</f>
        <v>26438.159999999996</v>
      </c>
    </row>
    <row r="7" spans="2:4" x14ac:dyDescent="0.25">
      <c r="B7" s="2" t="s">
        <v>199</v>
      </c>
      <c r="C7" s="9">
        <f>+'ROL DE PAGOS '!E34</f>
        <v>611.79999999999995</v>
      </c>
      <c r="D7" s="9">
        <f>SUM(C7*12)</f>
        <v>7341.5999999999995</v>
      </c>
    </row>
    <row r="8" spans="2:4" x14ac:dyDescent="0.25">
      <c r="B8" s="2" t="s">
        <v>0</v>
      </c>
      <c r="C8" s="9">
        <f>(DEPRECIACIONES!E11)/12</f>
        <v>616.64083333333326</v>
      </c>
      <c r="D8" s="9">
        <f>SUM(C8*12)</f>
        <v>7399.6899999999987</v>
      </c>
    </row>
    <row r="9" spans="2:4" x14ac:dyDescent="0.25">
      <c r="B9" s="2" t="s">
        <v>1</v>
      </c>
      <c r="C9" s="9">
        <f>('ACTIVO INTANGIBLE '!E8)/12</f>
        <v>10</v>
      </c>
      <c r="D9" s="9">
        <f>SUM(C9*12)</f>
        <v>120</v>
      </c>
    </row>
    <row r="10" spans="2:4" x14ac:dyDescent="0.25">
      <c r="B10" s="2" t="s">
        <v>2</v>
      </c>
      <c r="C10" s="9">
        <f>'DATOS Y SUPUESTOS '!C104</f>
        <v>150</v>
      </c>
      <c r="D10" s="9">
        <f>SUM(C10*12)</f>
        <v>1800</v>
      </c>
    </row>
    <row r="11" spans="2:4" x14ac:dyDescent="0.25">
      <c r="B11" s="2" t="s">
        <v>3</v>
      </c>
      <c r="C11" s="9"/>
      <c r="D11" s="9">
        <f>'TABLA DE AMORTIZACIÓN '!H27</f>
        <v>2274.8257865179985</v>
      </c>
    </row>
    <row r="12" spans="2:4" x14ac:dyDescent="0.25">
      <c r="B12" s="3" t="s">
        <v>4</v>
      </c>
      <c r="C12" s="9"/>
      <c r="D12" s="9">
        <f>'DATOS Y SUPUESTOS '!G100+'DATOS Y SUPUESTOS '!G101+'DATOS Y SUPUESTOS '!G102</f>
        <v>2520</v>
      </c>
    </row>
    <row r="13" spans="2:4" x14ac:dyDescent="0.25">
      <c r="B13" s="148" t="s">
        <v>266</v>
      </c>
      <c r="C13" s="159"/>
      <c r="D13" s="154">
        <f>SUM(D6:D12)</f>
        <v>47894.275786517996</v>
      </c>
    </row>
    <row r="14" spans="2:4" x14ac:dyDescent="0.25">
      <c r="B14" s="42"/>
    </row>
  </sheetData>
  <mergeCells count="1">
    <mergeCell ref="B3:D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E14"/>
  <sheetViews>
    <sheetView workbookViewId="0">
      <selection activeCell="L16" sqref="L16"/>
    </sheetView>
  </sheetViews>
  <sheetFormatPr baseColWidth="10" defaultRowHeight="15" x14ac:dyDescent="0.25"/>
  <cols>
    <col min="2" max="2" width="28.5703125" bestFit="1" customWidth="1"/>
    <col min="3" max="3" width="11.7109375" bestFit="1" customWidth="1"/>
    <col min="4" max="4" width="22.140625" customWidth="1"/>
    <col min="5" max="5" width="21.5703125" customWidth="1"/>
    <col min="6" max="6" width="11.7109375" bestFit="1" customWidth="1"/>
  </cols>
  <sheetData>
    <row r="2" spans="2:5" ht="16.5" customHeight="1" x14ac:dyDescent="0.25"/>
    <row r="3" spans="2:5" ht="18" x14ac:dyDescent="0.25">
      <c r="B3" s="370" t="s">
        <v>169</v>
      </c>
      <c r="C3" s="370"/>
      <c r="D3" s="370"/>
      <c r="E3" s="370"/>
    </row>
    <row r="5" spans="2:5" ht="30" x14ac:dyDescent="0.25">
      <c r="B5" s="144" t="s">
        <v>82</v>
      </c>
      <c r="C5" s="144" t="s">
        <v>151</v>
      </c>
      <c r="D5" s="189" t="s">
        <v>83</v>
      </c>
      <c r="E5" s="190" t="s">
        <v>84</v>
      </c>
    </row>
    <row r="6" spans="2:5" x14ac:dyDescent="0.25">
      <c r="B6" s="2" t="s">
        <v>207</v>
      </c>
      <c r="C6" s="9">
        <f>'DATOS Y SUPUESTOS '!F33</f>
        <v>800</v>
      </c>
      <c r="D6" s="27">
        <v>0.1</v>
      </c>
      <c r="E6" s="9">
        <f>C6*D6</f>
        <v>80</v>
      </c>
    </row>
    <row r="7" spans="2:5" x14ac:dyDescent="0.25">
      <c r="B7" s="26" t="s">
        <v>168</v>
      </c>
      <c r="C7" s="9">
        <f>+'DATOS Y SUPUESTOS '!C61</f>
        <v>20</v>
      </c>
      <c r="D7" s="27">
        <v>0.1</v>
      </c>
      <c r="E7" s="9">
        <f>C7*D7</f>
        <v>2</v>
      </c>
    </row>
    <row r="8" spans="2:5" x14ac:dyDescent="0.25">
      <c r="B8" s="2" t="s">
        <v>167</v>
      </c>
      <c r="C8" s="9">
        <f>'DATOS Y SUPUESTOS '!F37</f>
        <v>4300</v>
      </c>
      <c r="D8" s="28">
        <v>0.33329999999999999</v>
      </c>
      <c r="E8" s="9">
        <f>C8*D8</f>
        <v>1433.1899999999998</v>
      </c>
    </row>
    <row r="9" spans="2:5" x14ac:dyDescent="0.25">
      <c r="B9" s="2" t="s">
        <v>165</v>
      </c>
      <c r="C9" s="9">
        <f>'DATOS Y SUPUESTOS '!F25</f>
        <v>18845</v>
      </c>
      <c r="D9" s="27">
        <v>0.1</v>
      </c>
      <c r="E9" s="9">
        <f>C9*D9</f>
        <v>1884.5</v>
      </c>
    </row>
    <row r="10" spans="2:5" x14ac:dyDescent="0.25">
      <c r="B10" s="2" t="s">
        <v>166</v>
      </c>
      <c r="C10" s="9">
        <f>'DATOS Y SUPUESTOS '!F44</f>
        <v>20000</v>
      </c>
      <c r="D10" s="27">
        <v>0.2</v>
      </c>
      <c r="E10" s="9">
        <f>C10*D10</f>
        <v>4000</v>
      </c>
    </row>
    <row r="11" spans="2:5" x14ac:dyDescent="0.25">
      <c r="B11" s="148" t="s">
        <v>202</v>
      </c>
      <c r="C11" s="154">
        <f>SUM(C6:C10)</f>
        <v>43965</v>
      </c>
      <c r="D11" s="148"/>
      <c r="E11" s="154">
        <f>SUM(E6:E10)</f>
        <v>7399.69</v>
      </c>
    </row>
    <row r="13" spans="2:5" x14ac:dyDescent="0.25">
      <c r="E13" s="12"/>
    </row>
    <row r="14" spans="2:5" x14ac:dyDescent="0.25">
      <c r="E14" s="12"/>
    </row>
  </sheetData>
  <mergeCells count="1">
    <mergeCell ref="B3:E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47"/>
  <sheetViews>
    <sheetView workbookViewId="0">
      <selection activeCell="M14" sqref="M14"/>
    </sheetView>
  </sheetViews>
  <sheetFormatPr baseColWidth="10" defaultRowHeight="15" x14ac:dyDescent="0.25"/>
  <cols>
    <col min="2" max="2" width="35.85546875" bestFit="1" customWidth="1"/>
    <col min="3" max="3" width="13.28515625" customWidth="1"/>
    <col min="4" max="4" width="12.140625" customWidth="1"/>
    <col min="5" max="6" width="12.42578125" customWidth="1"/>
    <col min="7" max="7" width="13.140625" customWidth="1"/>
    <col min="8" max="8" width="12.7109375" bestFit="1" customWidth="1"/>
  </cols>
  <sheetData>
    <row r="2" spans="2:8" x14ac:dyDescent="0.25">
      <c r="B2" s="381" t="s">
        <v>211</v>
      </c>
      <c r="C2" s="381"/>
      <c r="D2" s="381"/>
      <c r="E2" s="381"/>
      <c r="F2" s="381"/>
      <c r="G2" s="381"/>
    </row>
    <row r="3" spans="2:8" x14ac:dyDescent="0.25">
      <c r="B3" s="381" t="s">
        <v>127</v>
      </c>
      <c r="C3" s="381"/>
      <c r="D3" s="381"/>
      <c r="E3" s="381"/>
      <c r="F3" s="381"/>
      <c r="G3" s="381"/>
    </row>
    <row r="4" spans="2:8" x14ac:dyDescent="0.25">
      <c r="B4" s="381" t="s">
        <v>114</v>
      </c>
      <c r="C4" s="381"/>
      <c r="D4" s="381"/>
      <c r="E4" s="381"/>
      <c r="F4" s="381"/>
      <c r="G4" s="381"/>
    </row>
    <row r="5" spans="2:8" x14ac:dyDescent="0.25">
      <c r="B5" s="53"/>
      <c r="C5" s="53"/>
      <c r="D5" s="53"/>
      <c r="E5" s="53"/>
      <c r="F5" s="53"/>
    </row>
    <row r="6" spans="2:8" x14ac:dyDescent="0.25">
      <c r="C6" s="57" t="s">
        <v>268</v>
      </c>
      <c r="D6" s="61" t="s">
        <v>241</v>
      </c>
      <c r="E6" s="61" t="s">
        <v>242</v>
      </c>
      <c r="F6" s="61" t="s">
        <v>243</v>
      </c>
      <c r="G6" s="61" t="s">
        <v>244</v>
      </c>
      <c r="H6" s="61" t="s">
        <v>245</v>
      </c>
    </row>
    <row r="7" spans="2:8" x14ac:dyDescent="0.25">
      <c r="B7" s="378" t="s">
        <v>128</v>
      </c>
      <c r="C7" s="379"/>
      <c r="D7" s="379"/>
      <c r="E7" s="379"/>
      <c r="F7" s="379"/>
      <c r="G7" s="379"/>
      <c r="H7" s="380"/>
    </row>
    <row r="8" spans="2:8" x14ac:dyDescent="0.25">
      <c r="B8" s="378" t="s">
        <v>130</v>
      </c>
      <c r="C8" s="379"/>
      <c r="D8" s="379"/>
      <c r="E8" s="379"/>
      <c r="F8" s="379"/>
      <c r="G8" s="379"/>
      <c r="H8" s="380"/>
    </row>
    <row r="9" spans="2:8" x14ac:dyDescent="0.25">
      <c r="B9" s="2" t="s">
        <v>131</v>
      </c>
      <c r="C9" s="9">
        <f>'M. CAPITAL DE TRABAJO '!D16</f>
        <v>19534.84</v>
      </c>
      <c r="D9" s="9">
        <f>('FLUJO NETO DEL EFECTIVO '!D38+C9)</f>
        <v>41685.934708878893</v>
      </c>
      <c r="E9" s="9">
        <f>'FLUJO NETO DEL EFECTIVO '!E38+D9</f>
        <v>62363.029237814335</v>
      </c>
      <c r="F9" s="9">
        <f>'FLUJO NETO DEL EFECTIVO '!F38+E9</f>
        <v>86187.556062828138</v>
      </c>
      <c r="G9" s="9">
        <f>'FLUJO NETO DEL EFECTIVO '!G38+F9</f>
        <v>113281.79760197605</v>
      </c>
      <c r="H9" s="9">
        <f>'FLUJO NETO DEL EFECTIVO '!H38+G9</f>
        <v>143771.73716189212</v>
      </c>
    </row>
    <row r="10" spans="2:8" x14ac:dyDescent="0.25">
      <c r="B10" s="152" t="s">
        <v>132</v>
      </c>
      <c r="C10" s="191">
        <f t="shared" ref="C10:H10" si="0">SUM(C9:C9)</f>
        <v>19534.84</v>
      </c>
      <c r="D10" s="191">
        <f t="shared" si="0"/>
        <v>41685.934708878893</v>
      </c>
      <c r="E10" s="191">
        <f t="shared" si="0"/>
        <v>62363.029237814335</v>
      </c>
      <c r="F10" s="191">
        <f t="shared" si="0"/>
        <v>86187.556062828138</v>
      </c>
      <c r="G10" s="191">
        <f t="shared" si="0"/>
        <v>113281.79760197605</v>
      </c>
      <c r="H10" s="191">
        <f t="shared" si="0"/>
        <v>143771.73716189212</v>
      </c>
    </row>
    <row r="11" spans="2:8" x14ac:dyDescent="0.25">
      <c r="B11" s="378" t="s">
        <v>134</v>
      </c>
      <c r="C11" s="379"/>
      <c r="D11" s="379"/>
      <c r="E11" s="379"/>
      <c r="F11" s="379"/>
      <c r="G11" s="379"/>
      <c r="H11" s="380"/>
    </row>
    <row r="12" spans="2:8" x14ac:dyDescent="0.25">
      <c r="B12" s="2" t="s">
        <v>136</v>
      </c>
      <c r="C12" s="9">
        <f>DEPRECIACIONES!C6</f>
        <v>800</v>
      </c>
      <c r="D12" s="9">
        <f>+C12</f>
        <v>800</v>
      </c>
      <c r="E12" s="9">
        <f>+D12</f>
        <v>800</v>
      </c>
      <c r="F12" s="9">
        <f>+E12</f>
        <v>800</v>
      </c>
      <c r="G12" s="9">
        <f>+F12</f>
        <v>800</v>
      </c>
      <c r="H12" s="9">
        <f>+G12</f>
        <v>800</v>
      </c>
    </row>
    <row r="13" spans="2:8" x14ac:dyDescent="0.25">
      <c r="B13" s="2" t="s">
        <v>138</v>
      </c>
      <c r="C13" s="2"/>
      <c r="D13" s="21">
        <f>-(DEPRECIACIONES!E6)</f>
        <v>-80</v>
      </c>
      <c r="E13" s="21">
        <f>+D13+D13</f>
        <v>-160</v>
      </c>
      <c r="F13" s="21">
        <f>+D13+E13</f>
        <v>-240</v>
      </c>
      <c r="G13" s="21">
        <f>+D13+F13</f>
        <v>-320</v>
      </c>
      <c r="H13" s="21">
        <f>+D13+G13</f>
        <v>-400</v>
      </c>
    </row>
    <row r="14" spans="2:8" x14ac:dyDescent="0.25">
      <c r="B14" s="2" t="s">
        <v>205</v>
      </c>
      <c r="C14" s="21">
        <f>DEPRECIACIONES!C7</f>
        <v>20</v>
      </c>
      <c r="D14" s="9">
        <f>C14</f>
        <v>20</v>
      </c>
      <c r="E14" s="9">
        <f>D14</f>
        <v>20</v>
      </c>
      <c r="F14" s="9">
        <f>E14</f>
        <v>20</v>
      </c>
      <c r="G14" s="9">
        <f>F14</f>
        <v>20</v>
      </c>
      <c r="H14" s="9">
        <f>G14</f>
        <v>20</v>
      </c>
    </row>
    <row r="15" spans="2:8" x14ac:dyDescent="0.25">
      <c r="B15" s="2" t="s">
        <v>206</v>
      </c>
      <c r="C15" s="2"/>
      <c r="D15" s="21">
        <f>-(DEPRECIACIONES!E7)</f>
        <v>-2</v>
      </c>
      <c r="E15" s="21">
        <f>+D15+D15</f>
        <v>-4</v>
      </c>
      <c r="F15" s="21">
        <f>+D15+E15</f>
        <v>-6</v>
      </c>
      <c r="G15" s="21">
        <f>+D15+F15</f>
        <v>-8</v>
      </c>
      <c r="H15" s="21">
        <f>+D15+G15</f>
        <v>-10</v>
      </c>
    </row>
    <row r="16" spans="2:8" x14ac:dyDescent="0.25">
      <c r="B16" s="2" t="s">
        <v>139</v>
      </c>
      <c r="C16" s="21">
        <f>DEPRECIACIONES!C8</f>
        <v>4300</v>
      </c>
      <c r="D16" s="9">
        <f>C16</f>
        <v>4300</v>
      </c>
      <c r="E16" s="9">
        <f>D16</f>
        <v>4300</v>
      </c>
      <c r="F16" s="9">
        <f>E16</f>
        <v>4300</v>
      </c>
      <c r="G16" s="9">
        <f>F16</f>
        <v>4300</v>
      </c>
      <c r="H16" s="9">
        <f>G16</f>
        <v>4300</v>
      </c>
    </row>
    <row r="17" spans="2:8" x14ac:dyDescent="0.25">
      <c r="B17" s="2" t="s">
        <v>141</v>
      </c>
      <c r="C17" s="2"/>
      <c r="D17" s="21">
        <f>-(DEPRECIACIONES!E8)</f>
        <v>-1433.1899999999998</v>
      </c>
      <c r="E17" s="9">
        <f>+D17+D17</f>
        <v>-2866.3799999999997</v>
      </c>
      <c r="F17" s="9">
        <f>+D17+E17</f>
        <v>-4299.57</v>
      </c>
      <c r="G17" s="9">
        <f>+D17+F17</f>
        <v>-5732.7599999999993</v>
      </c>
      <c r="H17" s="9">
        <f>+D17+G17</f>
        <v>-7165.9499999999989</v>
      </c>
    </row>
    <row r="18" spans="2:8" x14ac:dyDescent="0.25">
      <c r="B18" s="2" t="s">
        <v>208</v>
      </c>
      <c r="C18" s="21">
        <f>DEPRECIACIONES!C9</f>
        <v>18845</v>
      </c>
      <c r="D18" s="9">
        <f>C18</f>
        <v>18845</v>
      </c>
      <c r="E18" s="9">
        <f>D18</f>
        <v>18845</v>
      </c>
      <c r="F18" s="9">
        <f>E18</f>
        <v>18845</v>
      </c>
      <c r="G18" s="9">
        <f>F18</f>
        <v>18845</v>
      </c>
      <c r="H18" s="9">
        <f>G18</f>
        <v>18845</v>
      </c>
    </row>
    <row r="19" spans="2:8" x14ac:dyDescent="0.25">
      <c r="B19" s="2" t="s">
        <v>209</v>
      </c>
      <c r="C19" s="2"/>
      <c r="D19" s="21">
        <f>-(DEPRECIACIONES!E9)</f>
        <v>-1884.5</v>
      </c>
      <c r="E19" s="21">
        <f>+D19+D19</f>
        <v>-3769</v>
      </c>
      <c r="F19" s="21">
        <f>+D19+E19</f>
        <v>-5653.5</v>
      </c>
      <c r="G19" s="21">
        <f>+D19+F19</f>
        <v>-7538</v>
      </c>
      <c r="H19" s="21">
        <f>+D19+G19</f>
        <v>-9422.5</v>
      </c>
    </row>
    <row r="20" spans="2:8" x14ac:dyDescent="0.25">
      <c r="B20" s="2" t="s">
        <v>210</v>
      </c>
      <c r="C20" s="21">
        <f>DEPRECIACIONES!C10</f>
        <v>20000</v>
      </c>
      <c r="D20" s="31">
        <f>C20</f>
        <v>20000</v>
      </c>
      <c r="E20" s="31">
        <f>D20</f>
        <v>20000</v>
      </c>
      <c r="F20" s="31">
        <f>E20</f>
        <v>20000</v>
      </c>
      <c r="G20" s="31">
        <f>F20</f>
        <v>20000</v>
      </c>
      <c r="H20" s="31">
        <f>G20</f>
        <v>20000</v>
      </c>
    </row>
    <row r="21" spans="2:8" x14ac:dyDescent="0.25">
      <c r="B21" s="2" t="s">
        <v>267</v>
      </c>
      <c r="C21" s="2"/>
      <c r="D21" s="21">
        <f>-(DEPRECIACIONES!E10)</f>
        <v>-4000</v>
      </c>
      <c r="E21" s="21">
        <f>+D21+D21</f>
        <v>-8000</v>
      </c>
      <c r="F21" s="21">
        <f>+D21+E21</f>
        <v>-12000</v>
      </c>
      <c r="G21" s="21">
        <f>+D21+F21</f>
        <v>-16000</v>
      </c>
      <c r="H21" s="21">
        <f>+D21+G21</f>
        <v>-20000</v>
      </c>
    </row>
    <row r="22" spans="2:8" x14ac:dyDescent="0.25">
      <c r="B22" s="152" t="s">
        <v>143</v>
      </c>
      <c r="C22" s="191">
        <f t="shared" ref="C22:H22" si="1">SUM(C12:C21)</f>
        <v>43965</v>
      </c>
      <c r="D22" s="191">
        <f t="shared" si="1"/>
        <v>36565.31</v>
      </c>
      <c r="E22" s="191">
        <f t="shared" si="1"/>
        <v>29165.619999999995</v>
      </c>
      <c r="F22" s="191">
        <f t="shared" si="1"/>
        <v>21765.93</v>
      </c>
      <c r="G22" s="191">
        <f t="shared" si="1"/>
        <v>14366.240000000002</v>
      </c>
      <c r="H22" s="191">
        <f t="shared" si="1"/>
        <v>6966.5500000000029</v>
      </c>
    </row>
    <row r="23" spans="2:8" x14ac:dyDescent="0.25">
      <c r="B23" s="378" t="s">
        <v>145</v>
      </c>
      <c r="C23" s="379"/>
      <c r="D23" s="379"/>
      <c r="E23" s="379"/>
      <c r="F23" s="379"/>
      <c r="G23" s="379"/>
      <c r="H23" s="380"/>
    </row>
    <row r="24" spans="2:8" x14ac:dyDescent="0.25">
      <c r="B24" s="2" t="s">
        <v>147</v>
      </c>
      <c r="C24" s="9">
        <f>'ACTIVO INTANGIBLE '!C8</f>
        <v>600</v>
      </c>
      <c r="D24" s="9">
        <f>+C24</f>
        <v>600</v>
      </c>
      <c r="E24" s="9">
        <f>+D24</f>
        <v>600</v>
      </c>
      <c r="F24" s="9">
        <f>+E24</f>
        <v>600</v>
      </c>
      <c r="G24" s="9">
        <f>+F24</f>
        <v>600</v>
      </c>
      <c r="H24" s="9">
        <f>+G24</f>
        <v>600</v>
      </c>
    </row>
    <row r="25" spans="2:8" x14ac:dyDescent="0.25">
      <c r="B25" s="2" t="s">
        <v>204</v>
      </c>
      <c r="C25" s="2"/>
      <c r="D25" s="21">
        <f>-('ACTIVO INTANGIBLE '!E8)</f>
        <v>-120</v>
      </c>
      <c r="E25" s="21">
        <f>+D25+D25</f>
        <v>-240</v>
      </c>
      <c r="F25" s="21">
        <f>+D25+E25</f>
        <v>-360</v>
      </c>
      <c r="G25" s="21">
        <f>+D25+F25</f>
        <v>-480</v>
      </c>
      <c r="H25" s="21">
        <f>+D25+G25</f>
        <v>-600</v>
      </c>
    </row>
    <row r="26" spans="2:8" x14ac:dyDescent="0.25">
      <c r="B26" s="152" t="s">
        <v>148</v>
      </c>
      <c r="C26" s="191">
        <f t="shared" ref="C26:H26" si="2">SUM(C24:C25)</f>
        <v>600</v>
      </c>
      <c r="D26" s="191">
        <f t="shared" si="2"/>
        <v>480</v>
      </c>
      <c r="E26" s="191">
        <f t="shared" si="2"/>
        <v>360</v>
      </c>
      <c r="F26" s="191">
        <f t="shared" si="2"/>
        <v>240</v>
      </c>
      <c r="G26" s="191">
        <f t="shared" si="2"/>
        <v>120</v>
      </c>
      <c r="H26" s="191">
        <f t="shared" si="2"/>
        <v>0</v>
      </c>
    </row>
    <row r="27" spans="2:8" x14ac:dyDescent="0.25">
      <c r="B27" s="59" t="s">
        <v>149</v>
      </c>
      <c r="C27" s="192">
        <f t="shared" ref="C27:H27" si="3">SUM(C10+C22+C26)</f>
        <v>64099.839999999997</v>
      </c>
      <c r="D27" s="192">
        <f t="shared" si="3"/>
        <v>78731.24470887889</v>
      </c>
      <c r="E27" s="192">
        <f t="shared" si="3"/>
        <v>91888.64923781433</v>
      </c>
      <c r="F27" s="192">
        <f t="shared" si="3"/>
        <v>108193.48606282813</v>
      </c>
      <c r="G27" s="192">
        <f t="shared" si="3"/>
        <v>127768.03760197606</v>
      </c>
      <c r="H27" s="192">
        <f t="shared" si="3"/>
        <v>150738.28716189211</v>
      </c>
    </row>
    <row r="28" spans="2:8" x14ac:dyDescent="0.25">
      <c r="B28" s="2"/>
      <c r="C28" s="9"/>
      <c r="D28" s="9"/>
      <c r="E28" s="9"/>
      <c r="F28" s="9"/>
      <c r="G28" s="9"/>
      <c r="H28" s="2"/>
    </row>
    <row r="29" spans="2:8" x14ac:dyDescent="0.25">
      <c r="B29" s="378" t="s">
        <v>129</v>
      </c>
      <c r="C29" s="379"/>
      <c r="D29" s="379"/>
      <c r="E29" s="379"/>
      <c r="F29" s="379"/>
      <c r="G29" s="379"/>
      <c r="H29" s="380"/>
    </row>
    <row r="30" spans="2:8" x14ac:dyDescent="0.25">
      <c r="B30" s="378" t="s">
        <v>291</v>
      </c>
      <c r="C30" s="379"/>
      <c r="D30" s="379"/>
      <c r="E30" s="379"/>
      <c r="F30" s="379"/>
      <c r="G30" s="379"/>
      <c r="H30" s="380"/>
    </row>
    <row r="31" spans="2:8" x14ac:dyDescent="0.25">
      <c r="B31" s="145" t="s">
        <v>352</v>
      </c>
      <c r="C31" s="9"/>
      <c r="D31" s="9">
        <f>'FLUJO NETO DEL EFECTIVO '!D34</f>
        <v>3403.2736279211358</v>
      </c>
      <c r="E31" s="9">
        <f>'FLUJO NETO DEL EFECTIVO '!E34</f>
        <v>4351.1566208608619</v>
      </c>
      <c r="F31" s="9">
        <f>'FLUJO NETO DEL EFECTIVO '!F34</f>
        <v>5344.5792257472785</v>
      </c>
      <c r="G31" s="9">
        <f>'FLUJO NETO DEL EFECTIVO '!G34</f>
        <v>6386.0242345308379</v>
      </c>
      <c r="H31" s="9">
        <f>'FLUJO NETO DEL EFECTIVO '!H34</f>
        <v>7478.1467981669666</v>
      </c>
    </row>
    <row r="32" spans="2:8" x14ac:dyDescent="0.25">
      <c r="B32" s="145" t="s">
        <v>351</v>
      </c>
      <c r="C32" s="9"/>
      <c r="D32" s="9">
        <f>'FLUJO NETO DEL EFECTIVO '!D35</f>
        <v>2729.8986320223016</v>
      </c>
      <c r="E32" s="9">
        <f>'FLUJO NETO DEL EFECTIVO '!E35</f>
        <v>3490.2325835782317</v>
      </c>
      <c r="F32" s="9">
        <f>'FLUJO NETO DEL EFECTIVO '!F35</f>
        <v>4287.0956356261595</v>
      </c>
      <c r="G32" s="9">
        <f>'FLUJO NETO DEL EFECTIVO '!G35</f>
        <v>5122.4793325113669</v>
      </c>
      <c r="H32" s="9">
        <f>'FLUJO NETO DEL EFECTIVO '!H35</f>
        <v>5998.5134744654806</v>
      </c>
    </row>
    <row r="33" spans="2:8" x14ac:dyDescent="0.25">
      <c r="B33" s="145" t="s">
        <v>349</v>
      </c>
      <c r="C33" s="9">
        <f>+'DATOS Y SUPUESTOS '!G21*'M. INVERSIÓN'!D20</f>
        <v>16024.96</v>
      </c>
      <c r="D33" s="9">
        <f>+C33</f>
        <v>16024.96</v>
      </c>
      <c r="E33" s="9">
        <f>+D33</f>
        <v>16024.96</v>
      </c>
      <c r="F33" s="9">
        <f>+E33</f>
        <v>16024.96</v>
      </c>
      <c r="G33" s="9">
        <f>+F33</f>
        <v>16024.96</v>
      </c>
      <c r="H33" s="9">
        <f>+G33</f>
        <v>16024.96</v>
      </c>
    </row>
    <row r="34" spans="2:8" x14ac:dyDescent="0.25">
      <c r="B34" s="152" t="s">
        <v>310</v>
      </c>
      <c r="C34" s="191">
        <f t="shared" ref="C34:H34" si="4">SUM(C31:C33)</f>
        <v>16024.96</v>
      </c>
      <c r="D34" s="191">
        <f t="shared" si="4"/>
        <v>22158.132259943435</v>
      </c>
      <c r="E34" s="191">
        <f t="shared" si="4"/>
        <v>23866.349204439095</v>
      </c>
      <c r="F34" s="191">
        <f t="shared" si="4"/>
        <v>25656.634861373437</v>
      </c>
      <c r="G34" s="191">
        <f t="shared" si="4"/>
        <v>27533.463567042203</v>
      </c>
      <c r="H34" s="191">
        <f t="shared" si="4"/>
        <v>29501.620272632448</v>
      </c>
    </row>
    <row r="35" spans="2:8" x14ac:dyDescent="0.25">
      <c r="B35" s="145"/>
      <c r="C35" s="25"/>
      <c r="D35" s="25"/>
      <c r="E35" s="25"/>
      <c r="F35" s="25"/>
      <c r="G35" s="25"/>
      <c r="H35" s="25"/>
    </row>
    <row r="36" spans="2:8" x14ac:dyDescent="0.25">
      <c r="B36" s="378" t="s">
        <v>133</v>
      </c>
      <c r="C36" s="379"/>
      <c r="D36" s="379"/>
      <c r="E36" s="379"/>
      <c r="F36" s="379"/>
      <c r="G36" s="379"/>
      <c r="H36" s="380"/>
    </row>
    <row r="37" spans="2:8" x14ac:dyDescent="0.25">
      <c r="B37" s="2" t="s">
        <v>135</v>
      </c>
      <c r="C37" s="9">
        <f>'TABLA DE AMORTIZACIÓN '!C6</f>
        <v>22434.943999999996</v>
      </c>
      <c r="D37" s="9">
        <f>'TABLA DE AMORTIZACIÓN '!F27</f>
        <v>18867.02449539688</v>
      </c>
      <c r="E37" s="9">
        <f>'TABLA DE AMORTIZACIÓN '!F39</f>
        <v>14889.384060420882</v>
      </c>
      <c r="F37" s="9">
        <f>'TABLA DE AMORTIZACIÓN '!F51</f>
        <v>10454.972519032712</v>
      </c>
      <c r="G37" s="9">
        <f>'TABLA DE AMORTIZACIÓN '!F63</f>
        <v>5511.3367028116145</v>
      </c>
      <c r="H37" s="11">
        <f>'TABLA DE AMORTIZACIÓN '!F75</f>
        <v>3.3537617127876729E-12</v>
      </c>
    </row>
    <row r="38" spans="2:8" x14ac:dyDescent="0.25">
      <c r="B38" s="152" t="s">
        <v>137</v>
      </c>
      <c r="C38" s="191">
        <f t="shared" ref="C38:H38" si="5">SUM(C37)</f>
        <v>22434.943999999996</v>
      </c>
      <c r="D38" s="191">
        <f t="shared" si="5"/>
        <v>18867.02449539688</v>
      </c>
      <c r="E38" s="191">
        <f t="shared" si="5"/>
        <v>14889.384060420882</v>
      </c>
      <c r="F38" s="191">
        <f t="shared" si="5"/>
        <v>10454.972519032712</v>
      </c>
      <c r="G38" s="191">
        <f t="shared" si="5"/>
        <v>5511.3367028116145</v>
      </c>
      <c r="H38" s="191">
        <f t="shared" si="5"/>
        <v>3.3537617127876729E-12</v>
      </c>
    </row>
    <row r="39" spans="2:8" x14ac:dyDescent="0.25">
      <c r="B39" s="152" t="s">
        <v>272</v>
      </c>
      <c r="C39" s="191">
        <f t="shared" ref="C39:H39" si="6">C34+C38</f>
        <v>38459.903999999995</v>
      </c>
      <c r="D39" s="191">
        <f t="shared" si="6"/>
        <v>41025.156755340315</v>
      </c>
      <c r="E39" s="191">
        <f t="shared" si="6"/>
        <v>38755.733264859977</v>
      </c>
      <c r="F39" s="191">
        <f t="shared" si="6"/>
        <v>36111.607380406145</v>
      </c>
      <c r="G39" s="191">
        <f t="shared" si="6"/>
        <v>33044.800269853818</v>
      </c>
      <c r="H39" s="191">
        <f t="shared" si="6"/>
        <v>29501.620272632452</v>
      </c>
    </row>
    <row r="40" spans="2:8" x14ac:dyDescent="0.25">
      <c r="B40" s="145"/>
      <c r="C40" s="146"/>
      <c r="D40" s="146"/>
      <c r="E40" s="146"/>
      <c r="F40" s="146"/>
      <c r="G40" s="146"/>
      <c r="H40" s="146"/>
    </row>
    <row r="41" spans="2:8" x14ac:dyDescent="0.25">
      <c r="B41" s="378" t="s">
        <v>140</v>
      </c>
      <c r="C41" s="379"/>
      <c r="D41" s="379"/>
      <c r="E41" s="379"/>
      <c r="F41" s="379"/>
      <c r="G41" s="379"/>
      <c r="H41" s="380"/>
    </row>
    <row r="42" spans="2:8" x14ac:dyDescent="0.25">
      <c r="B42" s="3" t="s">
        <v>144</v>
      </c>
      <c r="C42" s="25">
        <f>'M. DE FINANCIAMIENTO'!C10</f>
        <v>25639.936000000002</v>
      </c>
      <c r="D42" s="25">
        <f>+C42</f>
        <v>25639.936000000002</v>
      </c>
      <c r="E42" s="25">
        <f>+D42</f>
        <v>25639.936000000002</v>
      </c>
      <c r="F42" s="25">
        <f>+E42</f>
        <v>25639.936000000002</v>
      </c>
      <c r="G42" s="25">
        <f>+F42</f>
        <v>25639.936000000002</v>
      </c>
      <c r="H42" s="25">
        <f>+G42</f>
        <v>25639.936000000002</v>
      </c>
    </row>
    <row r="43" spans="2:8" x14ac:dyDescent="0.25">
      <c r="B43" s="3" t="s">
        <v>276</v>
      </c>
      <c r="C43" s="25"/>
      <c r="D43" s="25">
        <f>+'ESTADO DE RESULTADO '!F28</f>
        <v>10859.536758184717</v>
      </c>
      <c r="E43" s="25">
        <f>+'ESTADO DE RESULTADO '!G28+D43</f>
        <v>24743.681975658921</v>
      </c>
      <c r="F43" s="25">
        <f>+'ESTADO DE RESULTADO '!H28+E43</f>
        <v>41797.748414179783</v>
      </c>
      <c r="G43" s="25">
        <f>+'ESTADO DE RESULTADO '!I28+F43</f>
        <v>62174.971198910003</v>
      </c>
      <c r="H43" s="25">
        <f>+'ESTADO DE RESULTADO '!J28+G43</f>
        <v>86037.057800333685</v>
      </c>
    </row>
    <row r="44" spans="2:8" x14ac:dyDescent="0.25">
      <c r="B44" s="3" t="str">
        <f>+'ESTADO DE RESULTADO '!B27</f>
        <v>RESERVA LEGAL</v>
      </c>
      <c r="C44" s="25"/>
      <c r="D44" s="25">
        <f>+'ESTADO DE RESULTADO '!F27</f>
        <v>1206.6151953538574</v>
      </c>
      <c r="E44" s="25">
        <f>+'ESTADO DE RESULTADO '!G27+D44</f>
        <v>2749.2979972954358</v>
      </c>
      <c r="F44" s="25">
        <f>+'ESTADO DE RESULTADO '!H27+E44</f>
        <v>4644.1942682421986</v>
      </c>
      <c r="G44" s="25">
        <f>+'ESTADO DE RESULTADO '!I27+F44</f>
        <v>6908.3301332122228</v>
      </c>
      <c r="H44" s="25">
        <f>+'ESTADO DE RESULTADO '!J27+G44</f>
        <v>9559.6730889259652</v>
      </c>
    </row>
    <row r="45" spans="2:8" x14ac:dyDescent="0.25">
      <c r="B45" s="152" t="s">
        <v>146</v>
      </c>
      <c r="C45" s="191">
        <f t="shared" ref="C45:H45" si="7">SUM(C42:C44)</f>
        <v>25639.936000000002</v>
      </c>
      <c r="D45" s="191">
        <f t="shared" si="7"/>
        <v>37706.087953538576</v>
      </c>
      <c r="E45" s="191">
        <f t="shared" si="7"/>
        <v>53132.915972954361</v>
      </c>
      <c r="F45" s="191">
        <f t="shared" si="7"/>
        <v>72081.878682421986</v>
      </c>
      <c r="G45" s="191">
        <f t="shared" si="7"/>
        <v>94723.237332122226</v>
      </c>
      <c r="H45" s="191">
        <f t="shared" si="7"/>
        <v>121236.66688925965</v>
      </c>
    </row>
    <row r="46" spans="2:8" x14ac:dyDescent="0.25">
      <c r="B46" s="59" t="s">
        <v>255</v>
      </c>
      <c r="C46" s="192">
        <f>SUM(C39+C45+C36)</f>
        <v>64099.839999999997</v>
      </c>
      <c r="D46" s="192">
        <f>SUM(D39+D45+D36)</f>
        <v>78731.24470887889</v>
      </c>
      <c r="E46" s="192">
        <f>SUM(E39+E45)</f>
        <v>91888.64923781433</v>
      </c>
      <c r="F46" s="192">
        <f>SUM(F39+F45+F36)</f>
        <v>108193.48606282813</v>
      </c>
      <c r="G46" s="192">
        <f>SUM(G39+G45+G36)</f>
        <v>127768.03760197604</v>
      </c>
      <c r="H46" s="192">
        <f>SUM(H39+H45+H36)</f>
        <v>150738.28716189211</v>
      </c>
    </row>
    <row r="47" spans="2:8" x14ac:dyDescent="0.25">
      <c r="E47" s="106"/>
    </row>
  </sheetData>
  <mergeCells count="11">
    <mergeCell ref="B3:G3"/>
    <mergeCell ref="B4:G4"/>
    <mergeCell ref="B2:G2"/>
    <mergeCell ref="B7:H7"/>
    <mergeCell ref="B8:H8"/>
    <mergeCell ref="B11:H11"/>
    <mergeCell ref="B23:H23"/>
    <mergeCell ref="B41:H41"/>
    <mergeCell ref="B36:H36"/>
    <mergeCell ref="B29:H29"/>
    <mergeCell ref="B30:H3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0"/>
  <sheetViews>
    <sheetView zoomScaleNormal="100" workbookViewId="0">
      <selection activeCell="O15" sqref="O15"/>
    </sheetView>
  </sheetViews>
  <sheetFormatPr baseColWidth="10" defaultRowHeight="15" x14ac:dyDescent="0.25"/>
  <cols>
    <col min="6" max="6" width="13" bestFit="1" customWidth="1"/>
    <col min="7" max="10" width="13.140625" bestFit="1" customWidth="1"/>
  </cols>
  <sheetData>
    <row r="1" spans="1:11" ht="20.25" x14ac:dyDescent="0.3">
      <c r="A1" s="15"/>
      <c r="B1" s="382" t="s">
        <v>211</v>
      </c>
      <c r="C1" s="382"/>
      <c r="D1" s="382"/>
      <c r="E1" s="382"/>
      <c r="F1" s="382"/>
      <c r="G1" s="382"/>
      <c r="H1" s="382"/>
      <c r="I1" s="382"/>
      <c r="J1" s="382"/>
      <c r="K1" s="53"/>
    </row>
    <row r="2" spans="1:11" ht="20.25" x14ac:dyDescent="0.3">
      <c r="A2" s="15"/>
      <c r="B2" s="382" t="s">
        <v>113</v>
      </c>
      <c r="C2" s="382"/>
      <c r="D2" s="382"/>
      <c r="E2" s="382"/>
      <c r="F2" s="382"/>
      <c r="G2" s="382"/>
      <c r="H2" s="382"/>
      <c r="I2" s="382"/>
      <c r="J2" s="382"/>
      <c r="K2" s="53"/>
    </row>
    <row r="3" spans="1:11" ht="20.25" x14ac:dyDescent="0.3">
      <c r="A3" s="15"/>
      <c r="B3" s="382" t="s">
        <v>114</v>
      </c>
      <c r="C3" s="382"/>
      <c r="D3" s="382"/>
      <c r="E3" s="382"/>
      <c r="F3" s="382"/>
      <c r="G3" s="382"/>
      <c r="H3" s="382"/>
      <c r="I3" s="382"/>
      <c r="J3" s="382"/>
      <c r="K3" s="53"/>
    </row>
    <row r="4" spans="1:11" x14ac:dyDescent="0.25">
      <c r="A4" s="15"/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x14ac:dyDescent="0.25">
      <c r="A5" s="15"/>
      <c r="F5" s="54" t="s">
        <v>241</v>
      </c>
      <c r="G5" s="54" t="s">
        <v>242</v>
      </c>
      <c r="H5" s="54" t="s">
        <v>243</v>
      </c>
      <c r="I5" s="54" t="s">
        <v>244</v>
      </c>
      <c r="J5" s="54" t="s">
        <v>245</v>
      </c>
    </row>
    <row r="6" spans="1:11" x14ac:dyDescent="0.25">
      <c r="A6" s="15"/>
      <c r="B6" s="79" t="s">
        <v>115</v>
      </c>
      <c r="C6" s="80"/>
      <c r="D6" s="80"/>
      <c r="E6" s="81"/>
      <c r="F6" s="9">
        <f>'MATRIZ DE INGRESO '!C15</f>
        <v>150000</v>
      </c>
      <c r="G6" s="9">
        <f>'MATRIZ DE INGRESO '!D15</f>
        <v>155865.87</v>
      </c>
      <c r="H6" s="9">
        <f>'MATRIZ DE INGRESO '!E15</f>
        <v>161961.76336275</v>
      </c>
      <c r="I6" s="9">
        <f>'MATRIZ DE INGRESO '!F15</f>
        <v>168296.48664259096</v>
      </c>
      <c r="J6" s="9">
        <f>'MATRIZ DE INGRESO '!G15</f>
        <v>174879.17357466425</v>
      </c>
      <c r="K6" s="12"/>
    </row>
    <row r="7" spans="1:11" x14ac:dyDescent="0.25">
      <c r="A7" s="15"/>
      <c r="B7" s="93" t="s">
        <v>216</v>
      </c>
      <c r="C7" s="80"/>
      <c r="D7" s="80"/>
      <c r="E7" s="81"/>
      <c r="F7" s="9">
        <f>'DATOS Y SUPUESTOS '!$D$105</f>
        <v>40500</v>
      </c>
      <c r="G7" s="9">
        <f>'DATOS Y SUPUESTOS '!$D$105</f>
        <v>40500</v>
      </c>
      <c r="H7" s="9">
        <f>'DATOS Y SUPUESTOS '!$D$105</f>
        <v>40500</v>
      </c>
      <c r="I7" s="9">
        <f>'DATOS Y SUPUESTOS '!$D$105</f>
        <v>40500</v>
      </c>
      <c r="J7" s="9">
        <f>'DATOS Y SUPUESTOS '!$D$105</f>
        <v>40500</v>
      </c>
      <c r="K7" s="12"/>
    </row>
    <row r="8" spans="1:11" x14ac:dyDescent="0.25">
      <c r="A8" s="15"/>
      <c r="B8" s="96" t="s">
        <v>215</v>
      </c>
      <c r="C8" s="97"/>
      <c r="D8" s="97"/>
      <c r="E8" s="98"/>
      <c r="F8" s="9">
        <f>'DATOS Y SUPUESTOS '!G105</f>
        <v>43406.400000000001</v>
      </c>
      <c r="G8" s="9">
        <f>SUM(F8+F8*'DATOS Y SUPUESTOS '!$G$5)</f>
        <v>44613.09792</v>
      </c>
      <c r="H8" s="9">
        <f>SUM(G8+G8*'DATOS Y SUPUESTOS '!$G$5)</f>
        <v>45853.342042176002</v>
      </c>
      <c r="I8" s="9">
        <f>SUM(H8+H8*'DATOS Y SUPUESTOS '!$G$5)</f>
        <v>47128.064950948494</v>
      </c>
      <c r="J8" s="9">
        <f>SUM(I8+I8*'DATOS Y SUPUESTOS '!$G$5)</f>
        <v>48438.225156584864</v>
      </c>
      <c r="K8" s="12"/>
    </row>
    <row r="9" spans="1:11" x14ac:dyDescent="0.25">
      <c r="A9" s="15" t="s">
        <v>116</v>
      </c>
      <c r="B9" s="99" t="s">
        <v>117</v>
      </c>
      <c r="C9" s="94"/>
      <c r="D9" s="94"/>
      <c r="E9" s="95"/>
      <c r="F9" s="9">
        <f>SUM(F7:F8)</f>
        <v>83906.4</v>
      </c>
      <c r="G9" s="9">
        <f>SUM(G7:G8)</f>
        <v>85113.09792</v>
      </c>
      <c r="H9" s="9">
        <f>SUM(H7:H8)</f>
        <v>86353.342042175995</v>
      </c>
      <c r="I9" s="9">
        <f>SUM(I7:I8)</f>
        <v>87628.064950948494</v>
      </c>
      <c r="J9" s="9">
        <f>SUM(J7:J8)</f>
        <v>88938.225156584871</v>
      </c>
      <c r="K9" s="12"/>
    </row>
    <row r="10" spans="1:11" x14ac:dyDescent="0.25">
      <c r="A10" s="15" t="s">
        <v>118</v>
      </c>
      <c r="B10" s="100" t="s">
        <v>119</v>
      </c>
      <c r="C10" s="101"/>
      <c r="D10" s="101"/>
      <c r="E10" s="102"/>
      <c r="F10" s="77">
        <f>SUM(F6-F9)</f>
        <v>66093.600000000006</v>
      </c>
      <c r="G10" s="77">
        <f>SUM(G6-G9)</f>
        <v>70752.772079999995</v>
      </c>
      <c r="H10" s="77">
        <f>SUM(H6-H9)</f>
        <v>75608.421320574009</v>
      </c>
      <c r="I10" s="77">
        <f>SUM(I6-I9)</f>
        <v>80668.421691642463</v>
      </c>
      <c r="J10" s="77">
        <f>SUM(J6-J9)</f>
        <v>85940.948418079381</v>
      </c>
      <c r="K10" s="12"/>
    </row>
    <row r="11" spans="1:11" x14ac:dyDescent="0.25">
      <c r="A11" s="15"/>
      <c r="B11" s="84"/>
      <c r="C11" s="85"/>
      <c r="D11" s="85"/>
      <c r="E11" s="86"/>
      <c r="F11" s="77"/>
      <c r="G11" s="77"/>
      <c r="H11" s="77"/>
      <c r="I11" s="77"/>
      <c r="J11" s="77"/>
      <c r="K11" s="12"/>
    </row>
    <row r="12" spans="1:11" x14ac:dyDescent="0.25">
      <c r="A12" s="15" t="s">
        <v>116</v>
      </c>
      <c r="B12" s="87" t="s">
        <v>120</v>
      </c>
      <c r="C12" s="88"/>
      <c r="D12" s="88"/>
      <c r="E12" s="89"/>
      <c r="F12" s="78">
        <f>-SUM(F13:F17)</f>
        <v>-43819.45</v>
      </c>
      <c r="G12" s="78">
        <f>-SUM(G13:G17)</f>
        <v>-43819.45</v>
      </c>
      <c r="H12" s="78">
        <f>-SUM(H13:H17)</f>
        <v>-43819.45</v>
      </c>
      <c r="I12" s="78">
        <f>-SUM(I13:I17)</f>
        <v>-43819.45</v>
      </c>
      <c r="J12" s="78">
        <f>-SUM(J13:J17)</f>
        <v>-43819.45</v>
      </c>
      <c r="K12" s="12"/>
    </row>
    <row r="13" spans="1:11" x14ac:dyDescent="0.25">
      <c r="A13" s="15"/>
      <c r="B13" s="82" t="s">
        <v>212</v>
      </c>
      <c r="C13" s="5"/>
      <c r="D13" s="5"/>
      <c r="E13" s="83"/>
      <c r="F13" s="9">
        <f>'MATRIZ DE EGRESO '!$D$6</f>
        <v>26438.159999999996</v>
      </c>
      <c r="G13" s="9">
        <f>'MATRIZ DE EGRESO '!$D$6</f>
        <v>26438.159999999996</v>
      </c>
      <c r="H13" s="9">
        <f>'MATRIZ DE EGRESO '!$D$6</f>
        <v>26438.159999999996</v>
      </c>
      <c r="I13" s="9">
        <f>'MATRIZ DE EGRESO '!$D$6</f>
        <v>26438.159999999996</v>
      </c>
      <c r="J13" s="9">
        <f>'MATRIZ DE EGRESO '!$D$6</f>
        <v>26438.159999999996</v>
      </c>
    </row>
    <row r="14" spans="1:11" x14ac:dyDescent="0.25">
      <c r="A14" s="15"/>
      <c r="B14" s="82" t="s">
        <v>269</v>
      </c>
      <c r="C14" s="5"/>
      <c r="D14" s="5"/>
      <c r="E14" s="83"/>
      <c r="F14" s="9">
        <f>'MATRIZ DE EGRESO '!$D$7</f>
        <v>7341.5999999999995</v>
      </c>
      <c r="G14" s="9">
        <f>'MATRIZ DE EGRESO '!$D$7</f>
        <v>7341.5999999999995</v>
      </c>
      <c r="H14" s="9">
        <f>'MATRIZ DE EGRESO '!$D$7</f>
        <v>7341.5999999999995</v>
      </c>
      <c r="I14" s="9">
        <f>'MATRIZ DE EGRESO '!$D$7</f>
        <v>7341.5999999999995</v>
      </c>
      <c r="J14" s="9">
        <f>'MATRIZ DE EGRESO '!$D$7</f>
        <v>7341.5999999999995</v>
      </c>
    </row>
    <row r="15" spans="1:11" x14ac:dyDescent="0.25">
      <c r="A15" s="15"/>
      <c r="B15" s="24" t="s">
        <v>0</v>
      </c>
      <c r="C15" s="5"/>
      <c r="D15" s="5"/>
      <c r="E15" s="83"/>
      <c r="F15" s="9">
        <f>'MATRIZ DE EGRESO '!$D$8</f>
        <v>7399.6899999999987</v>
      </c>
      <c r="G15" s="9">
        <f>'MATRIZ DE EGRESO '!$D$8</f>
        <v>7399.6899999999987</v>
      </c>
      <c r="H15" s="9">
        <f>'MATRIZ DE EGRESO '!$D$8</f>
        <v>7399.6899999999987</v>
      </c>
      <c r="I15" s="9">
        <f>'MATRIZ DE EGRESO '!$D$8</f>
        <v>7399.6899999999987</v>
      </c>
      <c r="J15" s="9">
        <f>'MATRIZ DE EGRESO '!$D$8</f>
        <v>7399.6899999999987</v>
      </c>
    </row>
    <row r="16" spans="1:11" x14ac:dyDescent="0.25">
      <c r="A16" s="15"/>
      <c r="B16" s="24" t="s">
        <v>1</v>
      </c>
      <c r="C16" s="5"/>
      <c r="D16" s="5"/>
      <c r="E16" s="83"/>
      <c r="F16" s="9">
        <f>'MATRIZ DE EGRESO '!$D$9</f>
        <v>120</v>
      </c>
      <c r="G16" s="9">
        <f>'MATRIZ DE EGRESO '!$D$9</f>
        <v>120</v>
      </c>
      <c r="H16" s="9">
        <f>'MATRIZ DE EGRESO '!$D$9</f>
        <v>120</v>
      </c>
      <c r="I16" s="9">
        <f>'MATRIZ DE EGRESO '!$D$9</f>
        <v>120</v>
      </c>
      <c r="J16" s="9">
        <f>'MATRIZ DE EGRESO '!$D$9</f>
        <v>120</v>
      </c>
    </row>
    <row r="17" spans="1:11" x14ac:dyDescent="0.25">
      <c r="A17" s="15"/>
      <c r="B17" s="24" t="s">
        <v>4</v>
      </c>
      <c r="C17" s="5"/>
      <c r="D17" s="5"/>
      <c r="E17" s="83"/>
      <c r="F17" s="9">
        <f>'MATRIZ DE EGRESO '!$D$12</f>
        <v>2520</v>
      </c>
      <c r="G17" s="9">
        <f>'MATRIZ DE EGRESO '!$D$12</f>
        <v>2520</v>
      </c>
      <c r="H17" s="9">
        <f>'MATRIZ DE EGRESO '!$D$12</f>
        <v>2520</v>
      </c>
      <c r="I17" s="9">
        <f>'MATRIZ DE EGRESO '!$D$12</f>
        <v>2520</v>
      </c>
      <c r="J17" s="9">
        <f>'MATRIZ DE EGRESO '!$D$12</f>
        <v>2520</v>
      </c>
    </row>
    <row r="18" spans="1:11" x14ac:dyDescent="0.25">
      <c r="A18" s="15" t="s">
        <v>116</v>
      </c>
      <c r="B18" s="87" t="s">
        <v>121</v>
      </c>
      <c r="C18" s="88"/>
      <c r="D18" s="88"/>
      <c r="E18" s="89"/>
      <c r="F18" s="78">
        <f>-SUM(F19)</f>
        <v>-1800</v>
      </c>
      <c r="G18" s="78">
        <f>-SUM(G19)</f>
        <v>-1800</v>
      </c>
      <c r="H18" s="78">
        <f>-SUM(H19)</f>
        <v>-1800</v>
      </c>
      <c r="I18" s="78">
        <f>-SUM(I19)</f>
        <v>-1800</v>
      </c>
      <c r="J18" s="78">
        <f>-SUM(J19)</f>
        <v>-1800</v>
      </c>
      <c r="K18" s="12"/>
    </row>
    <row r="19" spans="1:11" x14ac:dyDescent="0.25">
      <c r="A19" s="15"/>
      <c r="B19" s="24" t="str">
        <f>'[1]PLAN DE EGRESOS'!D12</f>
        <v>GASTO PUBLICIDAD</v>
      </c>
      <c r="C19" s="5"/>
      <c r="D19" s="5"/>
      <c r="E19" s="83"/>
      <c r="F19" s="9">
        <f>'MATRIZ DE EGRESO '!$D$10</f>
        <v>1800</v>
      </c>
      <c r="G19" s="9">
        <f>'MATRIZ DE EGRESO '!$D$10</f>
        <v>1800</v>
      </c>
      <c r="H19" s="9">
        <f>'MATRIZ DE EGRESO '!$D$10</f>
        <v>1800</v>
      </c>
      <c r="I19" s="9">
        <f>'MATRIZ DE EGRESO '!$D$10</f>
        <v>1800</v>
      </c>
      <c r="J19" s="9">
        <f>'MATRIZ DE EGRESO '!$D$10</f>
        <v>1800</v>
      </c>
    </row>
    <row r="20" spans="1:11" x14ac:dyDescent="0.25">
      <c r="A20" s="15" t="s">
        <v>118</v>
      </c>
      <c r="B20" s="193" t="s">
        <v>273</v>
      </c>
      <c r="C20" s="103"/>
      <c r="D20" s="103"/>
      <c r="E20" s="104"/>
      <c r="F20" s="105">
        <f>F10+F12+F18</f>
        <v>20474.150000000009</v>
      </c>
      <c r="G20" s="105">
        <f>G10+G12+G18</f>
        <v>25133.322079999998</v>
      </c>
      <c r="H20" s="105">
        <f>H10+H12+H18</f>
        <v>29988.971320574012</v>
      </c>
      <c r="I20" s="105">
        <f>I10+I12+I18</f>
        <v>35048.971691642466</v>
      </c>
      <c r="J20" s="105">
        <f>J10+J12+J18</f>
        <v>40321.498418079384</v>
      </c>
    </row>
    <row r="21" spans="1:11" x14ac:dyDescent="0.25">
      <c r="A21" s="15"/>
      <c r="B21" s="24" t="s">
        <v>270</v>
      </c>
      <c r="C21" s="5"/>
      <c r="D21" s="5"/>
      <c r="E21" s="83"/>
      <c r="F21" s="9">
        <f>-'MATRIZ DE EGRESO '!D11</f>
        <v>-2274.8257865179985</v>
      </c>
      <c r="G21" s="9">
        <f>-'TABLA DE AMORTIZACIÓN '!H39</f>
        <v>-1865.1048561451223</v>
      </c>
      <c r="H21" s="9">
        <f>-'TABLA DE AMORTIZACIÓN '!H51</f>
        <v>-1408.3337497329492</v>
      </c>
      <c r="I21" s="9">
        <f>-'TABLA DE AMORTIZACIÓN '!H63</f>
        <v>-899.10947490002218</v>
      </c>
      <c r="J21" s="9">
        <f>-'TABLA DE AMORTIZACIÓN '!H75</f>
        <v>-331.40858830950765</v>
      </c>
    </row>
    <row r="22" spans="1:11" x14ac:dyDescent="0.25">
      <c r="A22" s="15" t="s">
        <v>118</v>
      </c>
      <c r="B22" s="84" t="s">
        <v>122</v>
      </c>
      <c r="C22" s="85"/>
      <c r="D22" s="85"/>
      <c r="E22" s="86"/>
      <c r="F22" s="77">
        <f>SUM(F20,F21)</f>
        <v>18199.32421348201</v>
      </c>
      <c r="G22" s="77">
        <f>SUM(G20,G21)</f>
        <v>23268.217223854877</v>
      </c>
      <c r="H22" s="77">
        <f>SUM(H20,H21)</f>
        <v>28580.637570841063</v>
      </c>
      <c r="I22" s="77">
        <f>SUM(I20,I21)</f>
        <v>34149.862216742447</v>
      </c>
      <c r="J22" s="77">
        <f>SUM(J20,J21)</f>
        <v>39990.089829769873</v>
      </c>
      <c r="K22" s="12"/>
    </row>
    <row r="23" spans="1:11" x14ac:dyDescent="0.25">
      <c r="A23" s="15"/>
      <c r="B23" s="24" t="s">
        <v>124</v>
      </c>
      <c r="C23" s="5"/>
      <c r="D23" s="5"/>
      <c r="E23" s="83"/>
      <c r="F23" s="9">
        <f>SUM(F22)*'DATOS Y SUPUESTOS '!$G$10</f>
        <v>2729.8986320223016</v>
      </c>
      <c r="G23" s="9">
        <f>SUM(G22)*'DATOS Y SUPUESTOS '!$G$10</f>
        <v>3490.2325835782317</v>
      </c>
      <c r="H23" s="9">
        <f>SUM(H22)*'DATOS Y SUPUESTOS '!$G$10</f>
        <v>4287.0956356261595</v>
      </c>
      <c r="I23" s="9">
        <f>SUM(I22)*'DATOS Y SUPUESTOS '!$G$10</f>
        <v>5122.4793325113669</v>
      </c>
      <c r="J23" s="9">
        <f>SUM(J22)*'DATOS Y SUPUESTOS '!$G$10</f>
        <v>5998.5134744654806</v>
      </c>
      <c r="K23" s="12"/>
    </row>
    <row r="24" spans="1:11" x14ac:dyDescent="0.25">
      <c r="A24" s="15" t="s">
        <v>118</v>
      </c>
      <c r="B24" s="84" t="s">
        <v>123</v>
      </c>
      <c r="C24" s="85"/>
      <c r="D24" s="85"/>
      <c r="E24" s="86"/>
      <c r="F24" s="77">
        <f>SUM(F22-F23)</f>
        <v>15469.425581459709</v>
      </c>
      <c r="G24" s="77">
        <f>SUM(G22-G23)</f>
        <v>19777.984640276645</v>
      </c>
      <c r="H24" s="77">
        <f>SUM(H22-H23)</f>
        <v>24293.541935214904</v>
      </c>
      <c r="I24" s="77">
        <f>SUM(I22-I23)</f>
        <v>29027.38288423108</v>
      </c>
      <c r="J24" s="77">
        <f>SUM(J22-J23)</f>
        <v>33991.576355304394</v>
      </c>
      <c r="K24" s="12"/>
    </row>
    <row r="25" spans="1:11" x14ac:dyDescent="0.25">
      <c r="A25" s="15"/>
      <c r="B25" s="24" t="s">
        <v>277</v>
      </c>
      <c r="C25" s="5"/>
      <c r="D25" s="5"/>
      <c r="E25" s="83"/>
      <c r="F25" s="9">
        <f>SUM(F24*'DATOS Y SUPUESTOS '!$G$9)</f>
        <v>3403.2736279211358</v>
      </c>
      <c r="G25" s="9">
        <f>SUM(G24*'DATOS Y SUPUESTOS '!$G$9)</f>
        <v>4351.1566208608619</v>
      </c>
      <c r="H25" s="9">
        <f>SUM(H24*'DATOS Y SUPUESTOS '!$G$9)</f>
        <v>5344.5792257472785</v>
      </c>
      <c r="I25" s="9">
        <f>SUM(I24*'DATOS Y SUPUESTOS '!$G$9)</f>
        <v>6386.0242345308379</v>
      </c>
      <c r="J25" s="9">
        <f>SUM(J24*'DATOS Y SUPUESTOS '!$G$9)</f>
        <v>7478.1467981669666</v>
      </c>
      <c r="K25" s="12"/>
    </row>
    <row r="26" spans="1:11" x14ac:dyDescent="0.25">
      <c r="A26" s="15" t="s">
        <v>118</v>
      </c>
      <c r="B26" s="84" t="s">
        <v>125</v>
      </c>
      <c r="C26" s="85"/>
      <c r="D26" s="85"/>
      <c r="E26" s="86"/>
      <c r="F26" s="77">
        <f>SUM(F24-F25)</f>
        <v>12066.151953538574</v>
      </c>
      <c r="G26" s="77">
        <f>SUM(G24-G25)</f>
        <v>15426.828019415783</v>
      </c>
      <c r="H26" s="77">
        <f>SUM(H24-H25)</f>
        <v>18948.962709467625</v>
      </c>
      <c r="I26" s="77">
        <f>SUM(I24-I25)</f>
        <v>22641.35864970024</v>
      </c>
      <c r="J26" s="77">
        <f>SUM(J24-J25)</f>
        <v>26513.429557137428</v>
      </c>
      <c r="K26" s="12"/>
    </row>
    <row r="27" spans="1:11" x14ac:dyDescent="0.25">
      <c r="A27" s="15"/>
      <c r="B27" s="24" t="s">
        <v>48</v>
      </c>
      <c r="C27" s="5"/>
      <c r="D27" s="5"/>
      <c r="E27" s="83"/>
      <c r="F27" s="9">
        <f>SUM(F26*'DATOS Y SUPUESTOS '!$G$11)</f>
        <v>1206.6151953538574</v>
      </c>
      <c r="G27" s="9">
        <f>SUM(G26*'DATOS Y SUPUESTOS '!$G$11)</f>
        <v>1542.6828019415784</v>
      </c>
      <c r="H27" s="9">
        <f>SUM(H26*'DATOS Y SUPUESTOS '!$G$11)</f>
        <v>1894.8962709467626</v>
      </c>
      <c r="I27" s="9">
        <f>SUM(I26*'DATOS Y SUPUESTOS '!$G$11)</f>
        <v>2264.1358649700242</v>
      </c>
      <c r="J27" s="9">
        <f>SUM(J26*'DATOS Y SUPUESTOS '!$G$11)</f>
        <v>2651.3429557137429</v>
      </c>
      <c r="K27" s="12"/>
    </row>
    <row r="28" spans="1:11" x14ac:dyDescent="0.25">
      <c r="A28" s="15" t="s">
        <v>118</v>
      </c>
      <c r="B28" s="90" t="s">
        <v>126</v>
      </c>
      <c r="C28" s="91"/>
      <c r="D28" s="91"/>
      <c r="E28" s="92"/>
      <c r="F28" s="77">
        <f>SUM(F26-F27)</f>
        <v>10859.536758184717</v>
      </c>
      <c r="G28" s="77">
        <f>SUM(G26-G27)</f>
        <v>13884.145217474204</v>
      </c>
      <c r="H28" s="77">
        <f>SUM(H26-H27)</f>
        <v>17054.066438520862</v>
      </c>
      <c r="I28" s="77">
        <f>SUM(I26-I27)</f>
        <v>20377.222784730217</v>
      </c>
      <c r="J28" s="77">
        <f>SUM(J26-J27)</f>
        <v>23862.086601423685</v>
      </c>
      <c r="K28" s="44"/>
    </row>
    <row r="29" spans="1:11" x14ac:dyDescent="0.25">
      <c r="A29" s="15"/>
    </row>
    <row r="30" spans="1:11" x14ac:dyDescent="0.25">
      <c r="A30" s="15"/>
    </row>
  </sheetData>
  <mergeCells count="3">
    <mergeCell ref="B1:J1"/>
    <mergeCell ref="B2:J2"/>
    <mergeCell ref="B3:J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I41"/>
  <sheetViews>
    <sheetView workbookViewId="0"/>
  </sheetViews>
  <sheetFormatPr baseColWidth="10" defaultRowHeight="15" x14ac:dyDescent="0.25"/>
  <cols>
    <col min="2" max="2" width="48.5703125" bestFit="1" customWidth="1"/>
    <col min="3" max="3" width="12.7109375" bestFit="1" customWidth="1"/>
    <col min="4" max="8" width="13.140625" bestFit="1" customWidth="1"/>
    <col min="9" max="9" width="12.7109375" bestFit="1" customWidth="1"/>
  </cols>
  <sheetData>
    <row r="2" spans="1:8" x14ac:dyDescent="0.25">
      <c r="D2" s="8"/>
    </row>
    <row r="3" spans="1:8" ht="18" x14ac:dyDescent="0.25">
      <c r="B3" s="383" t="s">
        <v>213</v>
      </c>
      <c r="C3" s="383"/>
      <c r="D3" s="383"/>
      <c r="E3" s="383"/>
      <c r="F3" s="383"/>
      <c r="G3" s="383"/>
      <c r="H3" s="383"/>
    </row>
    <row r="5" spans="1:8" x14ac:dyDescent="0.25">
      <c r="A5" s="35"/>
      <c r="B5" s="194" t="s">
        <v>214</v>
      </c>
      <c r="C5" s="384" t="s">
        <v>181</v>
      </c>
      <c r="D5" s="384"/>
      <c r="E5" s="384"/>
      <c r="F5" s="384"/>
      <c r="G5" s="384"/>
      <c r="H5" s="384"/>
    </row>
    <row r="6" spans="1:8" x14ac:dyDescent="0.25">
      <c r="A6" s="35"/>
      <c r="B6" s="46"/>
      <c r="C6" s="47">
        <v>0</v>
      </c>
      <c r="D6" s="47">
        <v>1</v>
      </c>
      <c r="E6" s="47">
        <v>2</v>
      </c>
      <c r="F6" s="47">
        <v>3</v>
      </c>
      <c r="G6" s="47">
        <v>4</v>
      </c>
      <c r="H6" s="47">
        <v>5</v>
      </c>
    </row>
    <row r="7" spans="1:8" x14ac:dyDescent="0.25">
      <c r="A7" s="35"/>
      <c r="B7" s="197" t="str">
        <f>'ESTADO DE RESULTADO '!B6</f>
        <v xml:space="preserve">VENTAS </v>
      </c>
      <c r="C7" s="153"/>
      <c r="D7" s="198">
        <f>'ESTADO DE RESULTADO '!F6</f>
        <v>150000</v>
      </c>
      <c r="E7" s="198">
        <f>'ESTADO DE RESULTADO '!G6</f>
        <v>155865.87</v>
      </c>
      <c r="F7" s="198">
        <f>'ESTADO DE RESULTADO '!H6</f>
        <v>161961.76336275</v>
      </c>
      <c r="G7" s="198">
        <f>'ESTADO DE RESULTADO '!I6</f>
        <v>168296.48664259096</v>
      </c>
      <c r="H7" s="198">
        <f>'ESTADO DE RESULTADO '!J6</f>
        <v>174879.17357466425</v>
      </c>
    </row>
    <row r="8" spans="1:8" x14ac:dyDescent="0.25">
      <c r="A8" s="195"/>
      <c r="B8" s="195" t="str">
        <f>'ESTADO DE RESULTADO '!B7</f>
        <v xml:space="preserve">COSTO FIJO </v>
      </c>
      <c r="C8" s="6"/>
      <c r="D8" s="31">
        <f>'ESTADO DE RESULTADO '!F7</f>
        <v>40500</v>
      </c>
      <c r="E8" s="31">
        <f>'ESTADO DE RESULTADO '!G7</f>
        <v>40500</v>
      </c>
      <c r="F8" s="31">
        <f>'ESTADO DE RESULTADO '!H7</f>
        <v>40500</v>
      </c>
      <c r="G8" s="31">
        <f>'ESTADO DE RESULTADO '!I7</f>
        <v>40500</v>
      </c>
      <c r="H8" s="31">
        <f>'ESTADO DE RESULTADO '!J7</f>
        <v>40500</v>
      </c>
    </row>
    <row r="9" spans="1:8" x14ac:dyDescent="0.25">
      <c r="A9" s="195"/>
      <c r="B9" s="195" t="str">
        <f>'ESTADO DE RESULTADO '!B8</f>
        <v xml:space="preserve">COSTO VARIABLE </v>
      </c>
      <c r="C9" s="6"/>
      <c r="D9" s="31">
        <f>'ESTADO DE RESULTADO '!F8</f>
        <v>43406.400000000001</v>
      </c>
      <c r="E9" s="31">
        <f>'ESTADO DE RESULTADO '!G8</f>
        <v>44613.09792</v>
      </c>
      <c r="F9" s="31">
        <f>'ESTADO DE RESULTADO '!H8</f>
        <v>45853.342042176002</v>
      </c>
      <c r="G9" s="31">
        <f>'ESTADO DE RESULTADO '!I8</f>
        <v>47128.064950948494</v>
      </c>
      <c r="H9" s="31">
        <f>'ESTADO DE RESULTADO '!J8</f>
        <v>48438.225156584864</v>
      </c>
    </row>
    <row r="10" spans="1:8" x14ac:dyDescent="0.25">
      <c r="A10" s="196" t="str">
        <f>'ESTADO DE RESULTADO '!A9</f>
        <v>(-)</v>
      </c>
      <c r="B10" s="195" t="str">
        <f>'ESTADO DE RESULTADO '!B9</f>
        <v xml:space="preserve">COSTO DE VENTAS </v>
      </c>
      <c r="C10" s="6"/>
      <c r="D10" s="31">
        <f>'ESTADO DE RESULTADO '!F9</f>
        <v>83906.4</v>
      </c>
      <c r="E10" s="31">
        <f>'ESTADO DE RESULTADO '!G9</f>
        <v>85113.09792</v>
      </c>
      <c r="F10" s="31">
        <f>'ESTADO DE RESULTADO '!H9</f>
        <v>86353.342042175995</v>
      </c>
      <c r="G10" s="31">
        <f>'ESTADO DE RESULTADO '!I9</f>
        <v>87628.064950948494</v>
      </c>
      <c r="H10" s="31">
        <f>'ESTADO DE RESULTADO '!J9</f>
        <v>88938.225156584871</v>
      </c>
    </row>
    <row r="11" spans="1:8" x14ac:dyDescent="0.25">
      <c r="A11" s="196" t="str">
        <f>'ESTADO DE RESULTADO '!A10</f>
        <v>(=)</v>
      </c>
      <c r="B11" s="197" t="str">
        <f>'ESTADO DE RESULTADO '!B10</f>
        <v>UTILIDAD BRUTA</v>
      </c>
      <c r="C11" s="153"/>
      <c r="D11" s="198">
        <f>'ESTADO DE RESULTADO '!F10</f>
        <v>66093.600000000006</v>
      </c>
      <c r="E11" s="198">
        <f>'ESTADO DE RESULTADO '!G10</f>
        <v>70752.772079999995</v>
      </c>
      <c r="F11" s="198">
        <f>'ESTADO DE RESULTADO '!H10</f>
        <v>75608.421320574009</v>
      </c>
      <c r="G11" s="198">
        <f>'ESTADO DE RESULTADO '!I10</f>
        <v>80668.421691642463</v>
      </c>
      <c r="H11" s="198">
        <f>'ESTADO DE RESULTADO '!J10</f>
        <v>85940.948418079381</v>
      </c>
    </row>
    <row r="12" spans="1:8" x14ac:dyDescent="0.25">
      <c r="A12" s="196" t="str">
        <f>'ESTADO DE RESULTADO '!A12</f>
        <v>(-)</v>
      </c>
      <c r="B12" s="195" t="str">
        <f>'ESTADO DE RESULTADO '!B12</f>
        <v>GASTOS OPERATIVOS</v>
      </c>
      <c r="C12" s="6"/>
      <c r="D12" s="31">
        <f>'ESTADO DE RESULTADO '!F12</f>
        <v>-43819.45</v>
      </c>
      <c r="E12" s="31">
        <f>'ESTADO DE RESULTADO '!G12</f>
        <v>-43819.45</v>
      </c>
      <c r="F12" s="31">
        <f>'ESTADO DE RESULTADO '!H12</f>
        <v>-43819.45</v>
      </c>
      <c r="G12" s="31">
        <f>'ESTADO DE RESULTADO '!I12</f>
        <v>-43819.45</v>
      </c>
      <c r="H12" s="31">
        <f>'ESTADO DE RESULTADO '!J12</f>
        <v>-43819.45</v>
      </c>
    </row>
    <row r="13" spans="1:8" x14ac:dyDescent="0.25">
      <c r="A13" s="204">
        <f>'ESTADO DE RESULTADO '!A13</f>
        <v>0</v>
      </c>
      <c r="B13" s="195" t="str">
        <f>'ESTADO DE RESULTADO '!B13</f>
        <v xml:space="preserve">GASTOS SUELDOS Y SALARIOS </v>
      </c>
      <c r="C13" s="6"/>
      <c r="D13" s="31">
        <f>'ESTADO DE RESULTADO '!F13</f>
        <v>26438.159999999996</v>
      </c>
      <c r="E13" s="31">
        <f>'ESTADO DE RESULTADO '!G13</f>
        <v>26438.159999999996</v>
      </c>
      <c r="F13" s="31">
        <f>'ESTADO DE RESULTADO '!H13</f>
        <v>26438.159999999996</v>
      </c>
      <c r="G13" s="31">
        <f>'ESTADO DE RESULTADO '!I13</f>
        <v>26438.159999999996</v>
      </c>
      <c r="H13" s="31">
        <f>'ESTADO DE RESULTADO '!J13</f>
        <v>26438.159999999996</v>
      </c>
    </row>
    <row r="14" spans="1:8" x14ac:dyDescent="0.25">
      <c r="A14" s="204">
        <f>'ESTADO DE RESULTADO '!A14</f>
        <v>0</v>
      </c>
      <c r="B14" s="195" t="str">
        <f>'ESTADO DE RESULTADO '!B14</f>
        <v>GASTO PROVICIONES BENEFIC. SOC.</v>
      </c>
      <c r="C14" s="6"/>
      <c r="D14" s="31">
        <f>'ESTADO DE RESULTADO '!F14</f>
        <v>7341.5999999999995</v>
      </c>
      <c r="E14" s="31">
        <f>'ESTADO DE RESULTADO '!G14</f>
        <v>7341.5999999999995</v>
      </c>
      <c r="F14" s="31">
        <f>'ESTADO DE RESULTADO '!H14</f>
        <v>7341.5999999999995</v>
      </c>
      <c r="G14" s="31">
        <f>'ESTADO DE RESULTADO '!I14</f>
        <v>7341.5999999999995</v>
      </c>
      <c r="H14" s="31">
        <f>'ESTADO DE RESULTADO '!J14</f>
        <v>7341.5999999999995</v>
      </c>
    </row>
    <row r="15" spans="1:8" x14ac:dyDescent="0.25">
      <c r="A15" s="204">
        <f>'ESTADO DE RESULTADO '!A15</f>
        <v>0</v>
      </c>
      <c r="B15" s="195" t="str">
        <f>'ESTADO DE RESULTADO '!B15</f>
        <v>GASTO DEPRECIACIÓN</v>
      </c>
      <c r="C15" s="6"/>
      <c r="D15" s="31">
        <f>'ESTADO DE RESULTADO '!F15</f>
        <v>7399.6899999999987</v>
      </c>
      <c r="E15" s="31">
        <f>'ESTADO DE RESULTADO '!G15</f>
        <v>7399.6899999999987</v>
      </c>
      <c r="F15" s="31">
        <f>'ESTADO DE RESULTADO '!H15</f>
        <v>7399.6899999999987</v>
      </c>
      <c r="G15" s="31">
        <f>'ESTADO DE RESULTADO '!I15</f>
        <v>7399.6899999999987</v>
      </c>
      <c r="H15" s="31">
        <f>'ESTADO DE RESULTADO '!J15</f>
        <v>7399.6899999999987</v>
      </c>
    </row>
    <row r="16" spans="1:8" x14ac:dyDescent="0.25">
      <c r="A16" s="204">
        <f>'ESTADO DE RESULTADO '!A16</f>
        <v>0</v>
      </c>
      <c r="B16" s="195" t="str">
        <f>'ESTADO DE RESULTADO '!B16</f>
        <v>GASTO AMORTIZACIÓN</v>
      </c>
      <c r="C16" s="6"/>
      <c r="D16" s="31">
        <f>'ESTADO DE RESULTADO '!F16</f>
        <v>120</v>
      </c>
      <c r="E16" s="31">
        <f>'ESTADO DE RESULTADO '!G16</f>
        <v>120</v>
      </c>
      <c r="F16" s="31">
        <f>'ESTADO DE RESULTADO '!H16</f>
        <v>120</v>
      </c>
      <c r="G16" s="31">
        <f>'ESTADO DE RESULTADO '!I16</f>
        <v>120</v>
      </c>
      <c r="H16" s="31">
        <f>'ESTADO DE RESULTADO '!J16</f>
        <v>120</v>
      </c>
    </row>
    <row r="17" spans="1:8" x14ac:dyDescent="0.25">
      <c r="A17" s="204">
        <f>'ESTADO DE RESULTADO '!A17</f>
        <v>0</v>
      </c>
      <c r="B17" s="195" t="str">
        <f>'ESTADO DE RESULTADO '!B17</f>
        <v>GASTO SERVICIOS BASICOS</v>
      </c>
      <c r="C17" s="6"/>
      <c r="D17" s="31">
        <f>'ESTADO DE RESULTADO '!F17</f>
        <v>2520</v>
      </c>
      <c r="E17" s="31">
        <f>'ESTADO DE RESULTADO '!G17</f>
        <v>2520</v>
      </c>
      <c r="F17" s="31">
        <f>'ESTADO DE RESULTADO '!H17</f>
        <v>2520</v>
      </c>
      <c r="G17" s="31">
        <f>'ESTADO DE RESULTADO '!I17</f>
        <v>2520</v>
      </c>
      <c r="H17" s="31">
        <f>'ESTADO DE RESULTADO '!J17</f>
        <v>2520</v>
      </c>
    </row>
    <row r="18" spans="1:8" x14ac:dyDescent="0.25">
      <c r="A18" s="196" t="str">
        <f>'ESTADO DE RESULTADO '!A18</f>
        <v>(-)</v>
      </c>
      <c r="B18" s="195" t="str">
        <f>'ESTADO DE RESULTADO '!B18</f>
        <v>GASTOS NO OPERACIONALES</v>
      </c>
      <c r="C18" s="6"/>
      <c r="D18" s="45">
        <f>'ESTADO DE RESULTADO '!F18</f>
        <v>-1800</v>
      </c>
      <c r="E18" s="45">
        <f>'ESTADO DE RESULTADO '!G18</f>
        <v>-1800</v>
      </c>
      <c r="F18" s="45">
        <f>'ESTADO DE RESULTADO '!H18</f>
        <v>-1800</v>
      </c>
      <c r="G18" s="45">
        <f>'ESTADO DE RESULTADO '!I18</f>
        <v>-1800</v>
      </c>
      <c r="H18" s="45">
        <f>'ESTADO DE RESULTADO '!J18</f>
        <v>-1800</v>
      </c>
    </row>
    <row r="19" spans="1:8" x14ac:dyDescent="0.25">
      <c r="A19" s="204">
        <f>'ESTADO DE RESULTADO '!A19</f>
        <v>0</v>
      </c>
      <c r="B19" s="195" t="str">
        <f>'ESTADO DE RESULTADO '!B19</f>
        <v>GASTO PUBLICIDAD</v>
      </c>
      <c r="C19" s="6"/>
      <c r="D19" s="31">
        <f>'ESTADO DE RESULTADO '!F19</f>
        <v>1800</v>
      </c>
      <c r="E19" s="31">
        <f>'ESTADO DE RESULTADO '!G19</f>
        <v>1800</v>
      </c>
      <c r="F19" s="31">
        <f>'ESTADO DE RESULTADO '!H19</f>
        <v>1800</v>
      </c>
      <c r="G19" s="31">
        <f>'ESTADO DE RESULTADO '!I19</f>
        <v>1800</v>
      </c>
      <c r="H19" s="31">
        <f>'ESTADO DE RESULTADO '!J19</f>
        <v>1800</v>
      </c>
    </row>
    <row r="20" spans="1:8" x14ac:dyDescent="0.25">
      <c r="A20" s="196" t="str">
        <f>'ESTADO DE RESULTADO '!A20</f>
        <v>(=)</v>
      </c>
      <c r="B20" s="197" t="str">
        <f>'ESTADO DE RESULTADO '!B20</f>
        <v>UAII</v>
      </c>
      <c r="C20" s="153"/>
      <c r="D20" s="198">
        <f>'ESTADO DE RESULTADO '!F20</f>
        <v>20474.150000000009</v>
      </c>
      <c r="E20" s="198">
        <f>'ESTADO DE RESULTADO '!G20</f>
        <v>25133.322079999998</v>
      </c>
      <c r="F20" s="198">
        <f>'ESTADO DE RESULTADO '!H20</f>
        <v>29988.971320574012</v>
      </c>
      <c r="G20" s="198">
        <f>'ESTADO DE RESULTADO '!I20</f>
        <v>35048.971691642466</v>
      </c>
      <c r="H20" s="198">
        <f>'ESTADO DE RESULTADO '!J20</f>
        <v>40321.498418079384</v>
      </c>
    </row>
    <row r="21" spans="1:8" x14ac:dyDescent="0.25">
      <c r="A21" s="203">
        <f>'ESTADO DE RESULTADO '!A21</f>
        <v>0</v>
      </c>
      <c r="B21" s="195" t="str">
        <f>'ESTADO DE RESULTADO '!B21</f>
        <v>GASTOS FINANCIEROS</v>
      </c>
      <c r="C21" s="6"/>
      <c r="D21" s="45">
        <f>'ESTADO DE RESULTADO '!F21</f>
        <v>-2274.8257865179985</v>
      </c>
      <c r="E21" s="45">
        <f>'ESTADO DE RESULTADO '!G21</f>
        <v>-1865.1048561451223</v>
      </c>
      <c r="F21" s="45">
        <f>'ESTADO DE RESULTADO '!H21</f>
        <v>-1408.3337497329492</v>
      </c>
      <c r="G21" s="45">
        <f>'ESTADO DE RESULTADO '!I21</f>
        <v>-899.10947490002218</v>
      </c>
      <c r="H21" s="45">
        <f>'ESTADO DE RESULTADO '!J21</f>
        <v>-331.40858830950765</v>
      </c>
    </row>
    <row r="22" spans="1:8" x14ac:dyDescent="0.25">
      <c r="A22" s="196" t="str">
        <f>'ESTADO DE RESULTADO '!A22</f>
        <v>(=)</v>
      </c>
      <c r="B22" s="197" t="str">
        <f>'ESTADO DE RESULTADO '!B22</f>
        <v>UTILIDAD DEL EJERCICIO ANTES DE IMPUESTOS</v>
      </c>
      <c r="C22" s="153"/>
      <c r="D22" s="198">
        <f>'ESTADO DE RESULTADO '!F22</f>
        <v>18199.32421348201</v>
      </c>
      <c r="E22" s="198">
        <f>'ESTADO DE RESULTADO '!G22</f>
        <v>23268.217223854877</v>
      </c>
      <c r="F22" s="198">
        <f>'ESTADO DE RESULTADO '!H22</f>
        <v>28580.637570841063</v>
      </c>
      <c r="G22" s="198">
        <f>'ESTADO DE RESULTADO '!I22</f>
        <v>34149.862216742447</v>
      </c>
      <c r="H22" s="198">
        <f>'ESTADO DE RESULTADO '!J22</f>
        <v>39990.089829769873</v>
      </c>
    </row>
    <row r="23" spans="1:8" x14ac:dyDescent="0.25">
      <c r="A23" s="203">
        <f>'ESTADO DE RESULTADO '!A23</f>
        <v>0</v>
      </c>
      <c r="B23" s="195" t="str">
        <f>'ESTADO DE RESULTADO '!B23</f>
        <v>PARTICIPACIÓN TRABAJADORES</v>
      </c>
      <c r="C23" s="6"/>
      <c r="D23" s="31">
        <f>'ESTADO DE RESULTADO '!F23</f>
        <v>2729.8986320223016</v>
      </c>
      <c r="E23" s="31">
        <f>'ESTADO DE RESULTADO '!G23</f>
        <v>3490.2325835782317</v>
      </c>
      <c r="F23" s="31">
        <f>'ESTADO DE RESULTADO '!H23</f>
        <v>4287.0956356261595</v>
      </c>
      <c r="G23" s="31">
        <f>'ESTADO DE RESULTADO '!I23</f>
        <v>5122.4793325113669</v>
      </c>
      <c r="H23" s="31">
        <f>'ESTADO DE RESULTADO '!J23</f>
        <v>5998.5134744654806</v>
      </c>
    </row>
    <row r="24" spans="1:8" x14ac:dyDescent="0.25">
      <c r="A24" s="196" t="str">
        <f>'ESTADO DE RESULTADO '!A24</f>
        <v>(=)</v>
      </c>
      <c r="B24" s="197" t="str">
        <f>'ESTADO DE RESULTADO '!B24</f>
        <v xml:space="preserve"> UTILIDAD ANTES DE PART. TRABAJADORES</v>
      </c>
      <c r="C24" s="153"/>
      <c r="D24" s="198">
        <f>'ESTADO DE RESULTADO '!F24</f>
        <v>15469.425581459709</v>
      </c>
      <c r="E24" s="198">
        <f>'ESTADO DE RESULTADO '!G24</f>
        <v>19777.984640276645</v>
      </c>
      <c r="F24" s="198">
        <f>'ESTADO DE RESULTADO '!H24</f>
        <v>24293.541935214904</v>
      </c>
      <c r="G24" s="198">
        <f>'ESTADO DE RESULTADO '!I24</f>
        <v>29027.38288423108</v>
      </c>
      <c r="H24" s="198">
        <f>'ESTADO DE RESULTADO '!J24</f>
        <v>33991.576355304394</v>
      </c>
    </row>
    <row r="25" spans="1:8" x14ac:dyDescent="0.25">
      <c r="A25" s="203">
        <f>'ESTADO DE RESULTADO '!A25</f>
        <v>0</v>
      </c>
      <c r="B25" s="195" t="str">
        <f>'ESTADO DE RESULTADO '!B25</f>
        <v>IMPUESTO A LA RENTA</v>
      </c>
      <c r="C25" s="6"/>
      <c r="D25" s="31">
        <f>'ESTADO DE RESULTADO '!F25</f>
        <v>3403.2736279211358</v>
      </c>
      <c r="E25" s="31">
        <f>'ESTADO DE RESULTADO '!G25</f>
        <v>4351.1566208608619</v>
      </c>
      <c r="F25" s="31">
        <f>'ESTADO DE RESULTADO '!H25</f>
        <v>5344.5792257472785</v>
      </c>
      <c r="G25" s="31">
        <f>'ESTADO DE RESULTADO '!I25</f>
        <v>6386.0242345308379</v>
      </c>
      <c r="H25" s="31">
        <f>'ESTADO DE RESULTADO '!J25</f>
        <v>7478.1467981669666</v>
      </c>
    </row>
    <row r="26" spans="1:8" x14ac:dyDescent="0.25">
      <c r="A26" s="196" t="str">
        <f>'ESTADO DE RESULTADO '!A26</f>
        <v>(=)</v>
      </c>
      <c r="B26" s="197" t="str">
        <f>'ESTADO DE RESULTADO '!B26</f>
        <v>UTILIDAD ANTES DE RESERVAS</v>
      </c>
      <c r="C26" s="153"/>
      <c r="D26" s="198">
        <f>'ESTADO DE RESULTADO '!F26</f>
        <v>12066.151953538574</v>
      </c>
      <c r="E26" s="198">
        <f>'ESTADO DE RESULTADO '!G26</f>
        <v>15426.828019415783</v>
      </c>
      <c r="F26" s="198">
        <f>'ESTADO DE RESULTADO '!H26</f>
        <v>18948.962709467625</v>
      </c>
      <c r="G26" s="198">
        <f>'ESTADO DE RESULTADO '!I26</f>
        <v>22641.35864970024</v>
      </c>
      <c r="H26" s="198">
        <f>'ESTADO DE RESULTADO '!J26</f>
        <v>26513.429557137428</v>
      </c>
    </row>
    <row r="27" spans="1:8" x14ac:dyDescent="0.25">
      <c r="A27" s="195"/>
      <c r="B27" s="195" t="str">
        <f>'ESTADO DE RESULTADO '!B27</f>
        <v>RESERVA LEGAL</v>
      </c>
      <c r="C27" s="6"/>
      <c r="D27" s="31">
        <f>'ESTADO DE RESULTADO '!F27</f>
        <v>1206.6151953538574</v>
      </c>
      <c r="E27" s="31">
        <f>'ESTADO DE RESULTADO '!G27</f>
        <v>1542.6828019415784</v>
      </c>
      <c r="F27" s="31">
        <f>'ESTADO DE RESULTADO '!H27</f>
        <v>1894.8962709467626</v>
      </c>
      <c r="G27" s="31">
        <f>'ESTADO DE RESULTADO '!I27</f>
        <v>2264.1358649700242</v>
      </c>
      <c r="H27" s="31">
        <f>'ESTADO DE RESULTADO '!J27</f>
        <v>2651.3429557137429</v>
      </c>
    </row>
    <row r="28" spans="1:8" x14ac:dyDescent="0.25">
      <c r="A28" s="196" t="str">
        <f>'ESTADO DE RESULTADO '!A28</f>
        <v>(=)</v>
      </c>
      <c r="B28" s="197" t="str">
        <f>'ESTADO DE RESULTADO '!B28</f>
        <v>UTILIDAD DEL EJERCICIO</v>
      </c>
      <c r="C28" s="153"/>
      <c r="D28" s="198">
        <f>'ESTADO DE RESULTADO '!F28</f>
        <v>10859.536758184717</v>
      </c>
      <c r="E28" s="198">
        <f>'ESTADO DE RESULTADO '!G28</f>
        <v>13884.145217474204</v>
      </c>
      <c r="F28" s="198">
        <f>'ESTADO DE RESULTADO '!H28</f>
        <v>17054.066438520862</v>
      </c>
      <c r="G28" s="198">
        <f>'ESTADO DE RESULTADO '!I28</f>
        <v>20377.222784730217</v>
      </c>
      <c r="H28" s="198">
        <f>'ESTADO DE RESULTADO '!J28</f>
        <v>23862.086601423685</v>
      </c>
    </row>
    <row r="29" spans="1:8" x14ac:dyDescent="0.25">
      <c r="A29" s="173" t="s">
        <v>217</v>
      </c>
      <c r="B29" s="174" t="s">
        <v>274</v>
      </c>
      <c r="C29" s="6"/>
      <c r="D29" s="31">
        <f t="shared" ref="D29:H30" si="0">D15</f>
        <v>7399.6899999999987</v>
      </c>
      <c r="E29" s="31">
        <f t="shared" si="0"/>
        <v>7399.6899999999987</v>
      </c>
      <c r="F29" s="31">
        <f t="shared" si="0"/>
        <v>7399.6899999999987</v>
      </c>
      <c r="G29" s="31">
        <f t="shared" si="0"/>
        <v>7399.6899999999987</v>
      </c>
      <c r="H29" s="31">
        <f t="shared" si="0"/>
        <v>7399.6899999999987</v>
      </c>
    </row>
    <row r="30" spans="1:8" x14ac:dyDescent="0.25">
      <c r="A30" s="173" t="s">
        <v>217</v>
      </c>
      <c r="B30" s="174" t="s">
        <v>275</v>
      </c>
      <c r="C30" s="6"/>
      <c r="D30" s="31">
        <f t="shared" si="0"/>
        <v>120</v>
      </c>
      <c r="E30" s="31">
        <f t="shared" si="0"/>
        <v>120</v>
      </c>
      <c r="F30" s="31">
        <f t="shared" si="0"/>
        <v>120</v>
      </c>
      <c r="G30" s="31">
        <f t="shared" si="0"/>
        <v>120</v>
      </c>
      <c r="H30" s="31">
        <f t="shared" si="0"/>
        <v>120</v>
      </c>
    </row>
    <row r="31" spans="1:8" x14ac:dyDescent="0.25">
      <c r="A31" s="173" t="s">
        <v>217</v>
      </c>
      <c r="B31" s="174" t="s">
        <v>218</v>
      </c>
      <c r="C31" s="6"/>
      <c r="D31" s="31"/>
      <c r="E31" s="31"/>
      <c r="F31" s="31"/>
      <c r="G31" s="31"/>
      <c r="H31" s="31"/>
    </row>
    <row r="32" spans="1:8" x14ac:dyDescent="0.25">
      <c r="A32" s="173" t="s">
        <v>217</v>
      </c>
      <c r="B32" s="174" t="s">
        <v>311</v>
      </c>
      <c r="C32" s="6"/>
      <c r="D32" s="31">
        <f>D27</f>
        <v>1206.6151953538574</v>
      </c>
      <c r="E32" s="31">
        <f>E27</f>
        <v>1542.6828019415784</v>
      </c>
      <c r="F32" s="31">
        <f>F27</f>
        <v>1894.8962709467626</v>
      </c>
      <c r="G32" s="31">
        <f>G27</f>
        <v>2264.1358649700242</v>
      </c>
      <c r="H32" s="31">
        <f>H27</f>
        <v>2651.3429557137429</v>
      </c>
    </row>
    <row r="33" spans="1:9" x14ac:dyDescent="0.25">
      <c r="A33" s="173" t="s">
        <v>116</v>
      </c>
      <c r="B33" s="174" t="s">
        <v>219</v>
      </c>
      <c r="C33" s="45"/>
      <c r="D33" s="45">
        <f>-'TABLA DE AMORTIZACIÓN '!G27</f>
        <v>-3567.9195046031218</v>
      </c>
      <c r="E33" s="45">
        <f>-'TABLA DE AMORTIZACIÓN '!G39</f>
        <v>-3977.6404349759978</v>
      </c>
      <c r="F33" s="45">
        <f>-'TABLA DE AMORTIZACIÓN '!G51</f>
        <v>-4434.4115413881709</v>
      </c>
      <c r="G33" s="45">
        <f>-'TABLA DE AMORTIZACIÓN '!G63</f>
        <v>-4943.6358162210972</v>
      </c>
      <c r="H33" s="45">
        <f>-'TABLA DE AMORTIZACIÓN '!G75</f>
        <v>-5511.3367028116118</v>
      </c>
    </row>
    <row r="34" spans="1:9" x14ac:dyDescent="0.25">
      <c r="A34" s="173" t="s">
        <v>217</v>
      </c>
      <c r="B34" s="174" t="s">
        <v>290</v>
      </c>
      <c r="C34" s="45"/>
      <c r="D34" s="48">
        <f>D25</f>
        <v>3403.2736279211358</v>
      </c>
      <c r="E34" s="48">
        <f>E25</f>
        <v>4351.1566208608619</v>
      </c>
      <c r="F34" s="48">
        <f>F25</f>
        <v>5344.5792257472785</v>
      </c>
      <c r="G34" s="48">
        <f>G25</f>
        <v>6386.0242345308379</v>
      </c>
      <c r="H34" s="48">
        <f>H25</f>
        <v>7478.1467981669666</v>
      </c>
    </row>
    <row r="35" spans="1:9" x14ac:dyDescent="0.25">
      <c r="A35" s="173" t="s">
        <v>217</v>
      </c>
      <c r="B35" s="174" t="s">
        <v>292</v>
      </c>
      <c r="C35" s="45"/>
      <c r="D35" s="48">
        <f>D23</f>
        <v>2729.8986320223016</v>
      </c>
      <c r="E35" s="48">
        <f>E23</f>
        <v>3490.2325835782317</v>
      </c>
      <c r="F35" s="48">
        <f>F23</f>
        <v>4287.0956356261595</v>
      </c>
      <c r="G35" s="48">
        <f>G23</f>
        <v>5122.4793325113669</v>
      </c>
      <c r="H35" s="48">
        <f>H23</f>
        <v>5998.5134744654806</v>
      </c>
    </row>
    <row r="36" spans="1:9" x14ac:dyDescent="0.25">
      <c r="A36" s="173" t="s">
        <v>293</v>
      </c>
      <c r="B36" s="174" t="s">
        <v>350</v>
      </c>
      <c r="C36" s="45"/>
      <c r="D36" s="48"/>
      <c r="E36" s="230">
        <f t="shared" ref="E36:H37" si="1">-D34</f>
        <v>-3403.2736279211358</v>
      </c>
      <c r="F36" s="230">
        <f t="shared" si="1"/>
        <v>-4351.1566208608619</v>
      </c>
      <c r="G36" s="230">
        <f t="shared" si="1"/>
        <v>-5344.5792257472785</v>
      </c>
      <c r="H36" s="230">
        <f t="shared" si="1"/>
        <v>-6386.0242345308379</v>
      </c>
    </row>
    <row r="37" spans="1:9" x14ac:dyDescent="0.25">
      <c r="A37" s="173" t="s">
        <v>116</v>
      </c>
      <c r="B37" s="174" t="s">
        <v>294</v>
      </c>
      <c r="C37" s="45"/>
      <c r="D37" s="48"/>
      <c r="E37" s="230">
        <f t="shared" si="1"/>
        <v>-2729.8986320223016</v>
      </c>
      <c r="F37" s="230">
        <f t="shared" si="1"/>
        <v>-3490.2325835782317</v>
      </c>
      <c r="G37" s="230">
        <f t="shared" si="1"/>
        <v>-4287.0956356261595</v>
      </c>
      <c r="H37" s="230">
        <f t="shared" si="1"/>
        <v>-5122.4793325113669</v>
      </c>
    </row>
    <row r="38" spans="1:9" x14ac:dyDescent="0.25">
      <c r="A38" s="199" t="s">
        <v>118</v>
      </c>
      <c r="B38" s="200" t="s">
        <v>220</v>
      </c>
      <c r="C38" s="201">
        <f>-(+'M. INVERSIÓN'!D20)</f>
        <v>-64099.839999999997</v>
      </c>
      <c r="D38" s="202">
        <f>D28+D29+D30+D33+D31+D32+D34+D35+D36+D37</f>
        <v>22151.094708878889</v>
      </c>
      <c r="E38" s="202">
        <f>E28+E29+E30+E33+E31+E32+E34+E35+E36+E37</f>
        <v>20677.094528935442</v>
      </c>
      <c r="F38" s="202">
        <f>F28+F29+F30+F33+F31+F32+F34+F35+F36+F37</f>
        <v>23824.526825013796</v>
      </c>
      <c r="G38" s="202">
        <f>G28+G29+G30+G33+G31+G32+G34+G35+G36+G37</f>
        <v>27094.241539147908</v>
      </c>
      <c r="H38" s="202">
        <f>H28+H29+H30+H33+H31+H32+H34+H35+H36+H37</f>
        <v>30489.939559916053</v>
      </c>
      <c r="I38" s="43"/>
    </row>
    <row r="40" spans="1:9" x14ac:dyDescent="0.25">
      <c r="D40" s="106"/>
      <c r="E40" s="106"/>
      <c r="F40" s="106"/>
      <c r="G40" s="106"/>
      <c r="H40" s="106"/>
    </row>
    <row r="41" spans="1:9" x14ac:dyDescent="0.25">
      <c r="E41" s="12"/>
      <c r="F41" s="12"/>
    </row>
  </sheetData>
  <mergeCells count="2">
    <mergeCell ref="B3:H3"/>
    <mergeCell ref="C5:H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D10"/>
  <sheetViews>
    <sheetView workbookViewId="0">
      <selection activeCell="I14" sqref="I14"/>
    </sheetView>
  </sheetViews>
  <sheetFormatPr baseColWidth="10" defaultRowHeight="15" x14ac:dyDescent="0.25"/>
  <cols>
    <col min="2" max="2" width="17.140625" customWidth="1"/>
  </cols>
  <sheetData>
    <row r="2" spans="1:4" ht="41.25" customHeight="1" x14ac:dyDescent="0.3">
      <c r="A2" s="385" t="s">
        <v>313</v>
      </c>
      <c r="B2" s="385"/>
      <c r="C2" s="385"/>
    </row>
    <row r="4" spans="1:4" x14ac:dyDescent="0.25">
      <c r="B4" s="206" t="s">
        <v>222</v>
      </c>
      <c r="C4" s="50"/>
    </row>
    <row r="5" spans="1:4" x14ac:dyDescent="0.25">
      <c r="B5" s="28">
        <f>('DATOS Y SUPUESTOS '!G7+'DATOS Y SUPUESTOS '!G8*('DATOS Y SUPUESTOS '!G18-'DATOS Y SUPUESTOS '!G7))</f>
        <v>1.9975550000000002E-2</v>
      </c>
      <c r="C5" s="51"/>
    </row>
    <row r="7" spans="1:4" ht="40.5" customHeight="1" x14ac:dyDescent="0.3">
      <c r="A7" s="385" t="s">
        <v>312</v>
      </c>
      <c r="B7" s="385"/>
      <c r="C7" s="385"/>
      <c r="D7" s="205"/>
    </row>
    <row r="8" spans="1:4" x14ac:dyDescent="0.25">
      <c r="A8" s="7"/>
    </row>
    <row r="9" spans="1:4" x14ac:dyDescent="0.25">
      <c r="B9" s="206" t="s">
        <v>223</v>
      </c>
      <c r="C9" s="50"/>
    </row>
    <row r="10" spans="1:4" x14ac:dyDescent="0.25">
      <c r="B10" s="49">
        <f>(B5*('M. DE FINANCIAMIENTO'!C16/('M. DE FINANCIAMIENTO'!C17+'M. DE FINANCIAMIENTO'!C16)))+('TABLA DE AMORTIZACIÓN '!C7*('M. DE FINANCIAMIENTO'!C17/('M. DE FINANCIAMIENTO'!C17+'M. DE FINANCIAMIENTO'!C16)))*(1-'DATOS Y SUPUESTOS '!G14)</f>
        <v>4.2758426666666668E-2</v>
      </c>
      <c r="C10" s="51"/>
    </row>
  </sheetData>
  <mergeCells count="2">
    <mergeCell ref="A7:C7"/>
    <mergeCell ref="A2:C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J54"/>
  <sheetViews>
    <sheetView topLeftCell="B1" workbookViewId="0">
      <selection activeCell="J21" sqref="J21"/>
    </sheetView>
  </sheetViews>
  <sheetFormatPr baseColWidth="10" defaultRowHeight="14.25" x14ac:dyDescent="0.2"/>
  <cols>
    <col min="1" max="1" width="11.42578125" style="35"/>
    <col min="2" max="2" width="25" style="35" bestFit="1" customWidth="1"/>
    <col min="3" max="3" width="26.85546875" style="35" bestFit="1" customWidth="1"/>
    <col min="4" max="5" width="14" style="35" bestFit="1" customWidth="1"/>
    <col min="6" max="9" width="13.140625" style="35" bestFit="1" customWidth="1"/>
    <col min="10" max="16384" width="11.42578125" style="35"/>
  </cols>
  <sheetData>
    <row r="2" spans="2:9" x14ac:dyDescent="0.2">
      <c r="B2" s="128"/>
      <c r="C2" s="386" t="s">
        <v>181</v>
      </c>
      <c r="D2" s="386"/>
      <c r="E2" s="386"/>
      <c r="F2" s="386"/>
      <c r="G2" s="386"/>
      <c r="H2" s="386"/>
      <c r="I2" s="129"/>
    </row>
    <row r="3" spans="2:9" x14ac:dyDescent="0.2">
      <c r="B3" s="129"/>
      <c r="C3" s="142">
        <v>0</v>
      </c>
      <c r="D3" s="142">
        <v>1</v>
      </c>
      <c r="E3" s="142">
        <v>2</v>
      </c>
      <c r="F3" s="142">
        <v>3</v>
      </c>
      <c r="G3" s="142">
        <v>4</v>
      </c>
      <c r="H3" s="142">
        <v>5</v>
      </c>
      <c r="I3" s="129"/>
    </row>
    <row r="4" spans="2:9" x14ac:dyDescent="0.2">
      <c r="B4" s="217" t="s">
        <v>220</v>
      </c>
      <c r="C4" s="130">
        <f>'FLUJO NETO DEL EFECTIVO '!C38</f>
        <v>-64099.839999999997</v>
      </c>
      <c r="D4" s="130">
        <f>'FLUJO NETO DEL EFECTIVO '!D38</f>
        <v>22151.094708878889</v>
      </c>
      <c r="E4" s="130">
        <f>'FLUJO NETO DEL EFECTIVO '!E38</f>
        <v>20677.094528935442</v>
      </c>
      <c r="F4" s="130">
        <f>'FLUJO NETO DEL EFECTIVO '!F38</f>
        <v>23824.526825013796</v>
      </c>
      <c r="G4" s="130">
        <f>'FLUJO NETO DEL EFECTIVO '!G38</f>
        <v>27094.241539147908</v>
      </c>
      <c r="H4" s="130">
        <f>'FLUJO NETO DEL EFECTIVO '!H38</f>
        <v>30489.939559916053</v>
      </c>
      <c r="I4" s="129"/>
    </row>
    <row r="5" spans="2:9" x14ac:dyDescent="0.2">
      <c r="B5" s="129"/>
      <c r="C5" s="131"/>
      <c r="D5" s="132">
        <f>PV(WAC!$B$10,D3,,-D4)</f>
        <v>21242.78657683753</v>
      </c>
      <c r="E5" s="132">
        <f>PV(WAC!$B$10,E3,,-E4)</f>
        <v>19016.128216374105</v>
      </c>
      <c r="F5" s="132">
        <f>PV(WAC!$B$10,F3,,-F4)</f>
        <v>21012.279042005626</v>
      </c>
      <c r="G5" s="132">
        <f>PV(WAC!$B$10,G3,,-G4)</f>
        <v>22916.17687550596</v>
      </c>
      <c r="H5" s="132">
        <f>PV(WAC!$B$10,H3,,-H4)</f>
        <v>24730.791889133252</v>
      </c>
      <c r="I5" s="129"/>
    </row>
    <row r="6" spans="2:9" x14ac:dyDescent="0.2">
      <c r="B6" s="129"/>
    </row>
    <row r="7" spans="2:9" x14ac:dyDescent="0.2">
      <c r="B7" s="207" t="s">
        <v>225</v>
      </c>
    </row>
    <row r="8" spans="2:9" x14ac:dyDescent="0.2">
      <c r="B8" s="208">
        <f>SUM(D5:H5)</f>
        <v>108918.16259985647</v>
      </c>
    </row>
    <row r="10" spans="2:9" x14ac:dyDescent="0.2">
      <c r="B10" s="207" t="s">
        <v>226</v>
      </c>
    </row>
    <row r="11" spans="2:9" x14ac:dyDescent="0.2">
      <c r="B11" s="209">
        <f>B8+C4</f>
        <v>44818.322599856474</v>
      </c>
      <c r="C11" s="35" t="str">
        <f>IF(B11&gt;=0,"ACEPTO EL PROYECTO","RECHAZO EL PROYECTO")</f>
        <v>ACEPTO EL PROYECTO</v>
      </c>
    </row>
    <row r="13" spans="2:9" x14ac:dyDescent="0.2">
      <c r="B13" s="207" t="s">
        <v>227</v>
      </c>
    </row>
    <row r="14" spans="2:9" x14ac:dyDescent="0.2">
      <c r="B14" s="210">
        <f>IRR(C4:H4)</f>
        <v>0.25101021853087602</v>
      </c>
    </row>
    <row r="16" spans="2:9" x14ac:dyDescent="0.2">
      <c r="B16" s="207" t="s">
        <v>228</v>
      </c>
    </row>
    <row r="17" spans="2:10" x14ac:dyDescent="0.2">
      <c r="B17" s="211">
        <f>B8/(-C4)</f>
        <v>1.6991955455716656</v>
      </c>
    </row>
    <row r="18" spans="2:10" x14ac:dyDescent="0.2">
      <c r="B18" s="212">
        <f>(B17-1)</f>
        <v>0.69919554557166563</v>
      </c>
    </row>
    <row r="20" spans="2:10" x14ac:dyDescent="0.2">
      <c r="B20" s="207" t="s">
        <v>229</v>
      </c>
    </row>
    <row r="21" spans="2:10" x14ac:dyDescent="0.2">
      <c r="B21" s="207"/>
      <c r="C21" s="216">
        <v>0</v>
      </c>
      <c r="D21" s="216">
        <v>1</v>
      </c>
      <c r="E21" s="216">
        <v>2</v>
      </c>
      <c r="F21" s="216">
        <v>3</v>
      </c>
      <c r="G21" s="216">
        <v>4</v>
      </c>
      <c r="H21" s="216">
        <v>5</v>
      </c>
    </row>
    <row r="22" spans="2:10" x14ac:dyDescent="0.2">
      <c r="B22" s="213" t="s">
        <v>220</v>
      </c>
      <c r="C22" s="214">
        <f t="shared" ref="C22:H22" si="0">C4</f>
        <v>-64099.839999999997</v>
      </c>
      <c r="D22" s="214">
        <f t="shared" si="0"/>
        <v>22151.094708878889</v>
      </c>
      <c r="E22" s="214">
        <f t="shared" si="0"/>
        <v>20677.094528935442</v>
      </c>
      <c r="F22" s="214">
        <f t="shared" si="0"/>
        <v>23824.526825013796</v>
      </c>
      <c r="G22" s="214">
        <f t="shared" si="0"/>
        <v>27094.241539147908</v>
      </c>
      <c r="H22" s="214">
        <f t="shared" si="0"/>
        <v>30489.939559916053</v>
      </c>
    </row>
    <row r="23" spans="2:10" x14ac:dyDescent="0.2">
      <c r="B23" s="213" t="s">
        <v>221</v>
      </c>
      <c r="C23" s="214">
        <f>C22</f>
        <v>-64099.839999999997</v>
      </c>
      <c r="D23" s="215">
        <f>D5</f>
        <v>21242.78657683753</v>
      </c>
      <c r="E23" s="215">
        <f>E5</f>
        <v>19016.128216374105</v>
      </c>
      <c r="F23" s="215">
        <f>F5</f>
        <v>21012.279042005626</v>
      </c>
      <c r="G23" s="215">
        <f>G5</f>
        <v>22916.17687550596</v>
      </c>
      <c r="H23" s="215">
        <f>H5</f>
        <v>24730.791889133252</v>
      </c>
      <c r="J23" s="133"/>
    </row>
    <row r="24" spans="2:10" x14ac:dyDescent="0.2">
      <c r="B24" s="34" t="s">
        <v>233</v>
      </c>
      <c r="C24" s="134">
        <f>C23</f>
        <v>-64099.839999999997</v>
      </c>
      <c r="D24" s="134">
        <f>C24+D23</f>
        <v>-42857.053423162462</v>
      </c>
      <c r="E24" s="134">
        <f>D24+E23</f>
        <v>-23840.925206788357</v>
      </c>
      <c r="F24" s="134">
        <f>E24+F23</f>
        <v>-2828.6461647827309</v>
      </c>
      <c r="G24" s="134">
        <f>F24+G23</f>
        <v>20087.530710723229</v>
      </c>
      <c r="H24" s="134">
        <f>G24+H23</f>
        <v>44818.322599856481</v>
      </c>
    </row>
    <row r="26" spans="2:10" x14ac:dyDescent="0.2">
      <c r="C26" s="174">
        <f>IF(C11="RECHAZO EL PROYECTO","NO FACTIBLE",IF(-D24&gt;0,-C24/D23,IF(-E24&gt;0,(-D24/E23+D21,IF(-F24&gt;0,(-E24/F23+E21),IF(G24&gt;0,(-F24/G23+F21),IF(H24&gt;0,(-G24/H23+G21),IF(H24=0,H21))))))))</f>
        <v>3.0174873606220971</v>
      </c>
      <c r="F26" s="47" t="s">
        <v>278</v>
      </c>
      <c r="G26" s="174">
        <f>IF(C26="NO FACTIBLE","NO FACTIBLE",ROUNDDOWN(C26,0))</f>
        <v>3</v>
      </c>
      <c r="I26" s="133">
        <f>SUM(D23:F23)</f>
        <v>61271.193835217258</v>
      </c>
      <c r="J26" s="133">
        <f>SUM(G23/12)</f>
        <v>1909.6814062921633</v>
      </c>
    </row>
    <row r="27" spans="2:10" x14ac:dyDescent="0.2">
      <c r="C27" s="253">
        <f>IF(C26="NO FACTIBLE","NO FACTIBLE",(C26-G26)*12)</f>
        <v>0.20984832746516524</v>
      </c>
      <c r="F27" s="47" t="s">
        <v>279</v>
      </c>
      <c r="G27" s="174">
        <f>IF(C27="NO FACTIBLE","",ROUNDDOWN(C27,0))</f>
        <v>0</v>
      </c>
      <c r="I27" s="133">
        <f>SUM(-C24-I26)</f>
        <v>2828.6461647827382</v>
      </c>
    </row>
    <row r="28" spans="2:10" x14ac:dyDescent="0.2">
      <c r="B28" s="135"/>
      <c r="C28" s="174">
        <f>IF(C27="NO FACTIBLE","NO FACTIBLE",(C27-G27)*30)</f>
        <v>6.2954498239549572</v>
      </c>
      <c r="E28" s="133"/>
      <c r="F28" s="218" t="s">
        <v>280</v>
      </c>
      <c r="G28" s="174">
        <f>IF(C28="NO FACTIBLE","",ROUNDDOWN(C28,0))</f>
        <v>6</v>
      </c>
      <c r="H28" s="35" t="s">
        <v>281</v>
      </c>
      <c r="I28" s="35">
        <f>SUM(I27/J26)</f>
        <v>1.4812136492834356</v>
      </c>
    </row>
    <row r="29" spans="2:10" x14ac:dyDescent="0.2">
      <c r="B29" s="135"/>
      <c r="C29" s="129"/>
      <c r="E29" s="133"/>
      <c r="F29" s="133"/>
      <c r="G29" s="136"/>
      <c r="I29" s="136"/>
    </row>
    <row r="30" spans="2:10" x14ac:dyDescent="0.2">
      <c r="B30" s="228" t="s">
        <v>232</v>
      </c>
      <c r="C30" s="228" t="str">
        <f>IF(C26="NO FACTIBLE","NO FACTIBLE",CONCATENATE(G26,F26,H28,G27,F27,H28,G28,F28))</f>
        <v>3 AÑOS, 0 MESES, 6 DÍAS</v>
      </c>
      <c r="D30" s="137"/>
      <c r="E30" s="138"/>
      <c r="F30" s="139"/>
      <c r="G30" s="36"/>
    </row>
    <row r="31" spans="2:10" x14ac:dyDescent="0.2">
      <c r="B31" s="135"/>
      <c r="C31" s="140"/>
      <c r="D31" s="141"/>
      <c r="F31" s="387" t="str">
        <f>IF(C11="ACEPTO EL PROYECTO","Este es un proyecto viable para invertir","No se recomienda invertir en este proyecto")</f>
        <v>Este es un proyecto viable para invertir</v>
      </c>
      <c r="G31" s="387"/>
      <c r="H31" s="387"/>
      <c r="I31" s="35">
        <f>0.48*30</f>
        <v>14.399999999999999</v>
      </c>
    </row>
    <row r="32" spans="2:10" x14ac:dyDescent="0.2">
      <c r="B32" s="388" t="s">
        <v>331</v>
      </c>
      <c r="C32" s="389"/>
    </row>
    <row r="33" spans="2:6" x14ac:dyDescent="0.2">
      <c r="B33" s="174" t="s">
        <v>303</v>
      </c>
      <c r="C33" s="224">
        <f>'BALANCE GENRAL '!D10-'BALANCE GENRAL '!D34</f>
        <v>19527.802448935458</v>
      </c>
    </row>
    <row r="34" spans="2:6" x14ac:dyDescent="0.2">
      <c r="B34" s="174" t="s">
        <v>304</v>
      </c>
      <c r="C34" s="224">
        <f>'BALANCE GENRAL '!D22</f>
        <v>36565.31</v>
      </c>
    </row>
    <row r="35" spans="2:6" x14ac:dyDescent="0.2">
      <c r="B35" s="225" t="s">
        <v>305</v>
      </c>
      <c r="C35" s="226">
        <f>C34+C33</f>
        <v>56093.112448935455</v>
      </c>
      <c r="F35" s="38"/>
    </row>
    <row r="36" spans="2:6" x14ac:dyDescent="0.2">
      <c r="B36" s="174"/>
      <c r="C36" s="174"/>
    </row>
    <row r="37" spans="2:6" x14ac:dyDescent="0.2">
      <c r="B37" s="225" t="s">
        <v>306</v>
      </c>
      <c r="C37" s="226">
        <f>'ESTADO DE RESULTADO '!F22*(1-'DATOS Y SUPUESTOS '!G14)</f>
        <v>11465.574254493666</v>
      </c>
    </row>
    <row r="38" spans="2:6" x14ac:dyDescent="0.2">
      <c r="B38" s="225" t="s">
        <v>307</v>
      </c>
      <c r="C38" s="240">
        <f>C37/C35</f>
        <v>0.20440253275179529</v>
      </c>
    </row>
    <row r="39" spans="2:6" x14ac:dyDescent="0.2">
      <c r="B39" s="47"/>
      <c r="C39" s="47"/>
    </row>
    <row r="40" spans="2:6" x14ac:dyDescent="0.2">
      <c r="B40" s="225" t="s">
        <v>223</v>
      </c>
      <c r="C40" s="227">
        <f>WAC!B10</f>
        <v>4.2758426666666668E-2</v>
      </c>
    </row>
    <row r="41" spans="2:6" x14ac:dyDescent="0.2">
      <c r="B41" s="47"/>
      <c r="C41" s="47"/>
    </row>
    <row r="42" spans="2:6" x14ac:dyDescent="0.2">
      <c r="B42" s="228" t="s">
        <v>302</v>
      </c>
      <c r="C42" s="229">
        <f>(C40-C38)*C35</f>
        <v>-9067.1210193407733</v>
      </c>
    </row>
    <row r="45" spans="2:6" x14ac:dyDescent="0.2">
      <c r="B45" s="219"/>
      <c r="C45" s="220"/>
    </row>
    <row r="46" spans="2:6" x14ac:dyDescent="0.2">
      <c r="B46" s="219"/>
      <c r="C46" s="220"/>
    </row>
    <row r="47" spans="2:6" x14ac:dyDescent="0.2">
      <c r="B47" s="221"/>
      <c r="C47" s="222"/>
    </row>
    <row r="48" spans="2:6" x14ac:dyDescent="0.2">
      <c r="B48" s="219"/>
      <c r="C48" s="219"/>
    </row>
    <row r="49" spans="2:3" x14ac:dyDescent="0.2">
      <c r="B49" s="221"/>
      <c r="C49" s="222"/>
    </row>
    <row r="50" spans="2:3" x14ac:dyDescent="0.2">
      <c r="B50" s="221"/>
      <c r="C50" s="222"/>
    </row>
    <row r="51" spans="2:3" x14ac:dyDescent="0.2">
      <c r="B51" s="221"/>
      <c r="C51" s="221"/>
    </row>
    <row r="52" spans="2:3" x14ac:dyDescent="0.2">
      <c r="B52" s="221"/>
      <c r="C52" s="223"/>
    </row>
    <row r="53" spans="2:3" x14ac:dyDescent="0.2">
      <c r="B53" s="221"/>
      <c r="C53" s="221"/>
    </row>
    <row r="54" spans="2:3" x14ac:dyDescent="0.2">
      <c r="B54" s="221"/>
      <c r="C54" s="222"/>
    </row>
  </sheetData>
  <mergeCells count="3">
    <mergeCell ref="C2:H2"/>
    <mergeCell ref="F31:H31"/>
    <mergeCell ref="B32:C32"/>
  </mergeCells>
  <conditionalFormatting sqref="C11">
    <cfRule type="containsText" dxfId="3" priority="3" operator="containsText" text="RECHAZO EL PROYECTO">
      <formula>NOT(ISERROR(SEARCH("RECHAZO EL PROYECTO",C11)))</formula>
    </cfRule>
    <cfRule type="containsText" dxfId="2" priority="4" operator="containsText" text="ACEPTO EL PROYECTO">
      <formula>NOT(ISERROR(SEARCH("ACEPTO EL PROYECTO",C11)))</formula>
    </cfRule>
  </conditionalFormatting>
  <conditionalFormatting sqref="F31:H31">
    <cfRule type="notContainsText" dxfId="1" priority="1" operator="notContains" text="Este es un proyecto viable para invertir">
      <formula>ISERROR(SEARCH("Este es un proyecto viable para invertir",F31))</formula>
    </cfRule>
    <cfRule type="containsText" dxfId="0" priority="2" operator="containsText" text="Este es un proyecto viable para invertir">
      <formula>NOT(ISERROR(SEARCH("Este es un proyecto viable para invertir",F31)))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7"/>
  <sheetViews>
    <sheetView topLeftCell="F1" zoomScale="91" zoomScaleNormal="91" workbookViewId="0">
      <selection activeCell="L23" sqref="L23"/>
    </sheetView>
  </sheetViews>
  <sheetFormatPr baseColWidth="10" defaultRowHeight="15" x14ac:dyDescent="0.25"/>
  <cols>
    <col min="1" max="1" width="6.140625" style="107" customWidth="1"/>
    <col min="2" max="2" width="31.85546875" style="107" customWidth="1"/>
    <col min="3" max="3" width="17.5703125" style="107" customWidth="1"/>
    <col min="4" max="4" width="13.140625" style="107" customWidth="1"/>
    <col min="5" max="6" width="11.42578125" style="125"/>
    <col min="7" max="7" width="11.42578125" style="107"/>
    <col min="8" max="8" width="52.7109375" style="107" customWidth="1"/>
    <col min="9" max="9" width="19.5703125" style="107" customWidth="1"/>
    <col min="10" max="10" width="12.7109375" style="107" customWidth="1"/>
    <col min="11" max="11" width="17.28515625" style="107" bestFit="1" customWidth="1"/>
    <col min="12" max="12" width="11.5703125" style="107" bestFit="1" customWidth="1"/>
    <col min="13" max="16384" width="11.42578125" style="107"/>
  </cols>
  <sheetData>
    <row r="2" spans="2:12" ht="33" x14ac:dyDescent="0.45">
      <c r="B2" s="392" t="s">
        <v>282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4" spans="2:12" x14ac:dyDescent="0.25">
      <c r="B4" s="245"/>
      <c r="C4" s="246"/>
      <c r="D4" s="246"/>
      <c r="E4" s="255"/>
      <c r="F4" s="256"/>
      <c r="H4" s="245"/>
      <c r="I4" s="246"/>
      <c r="J4" s="246"/>
      <c r="K4" s="246"/>
      <c r="L4" s="247"/>
    </row>
    <row r="5" spans="2:12" ht="20.25" x14ac:dyDescent="0.3">
      <c r="B5" s="393" t="s">
        <v>234</v>
      </c>
      <c r="C5" s="394"/>
      <c r="D5" s="110"/>
      <c r="E5" s="119"/>
      <c r="F5" s="251"/>
      <c r="H5" s="248" t="s">
        <v>344</v>
      </c>
      <c r="I5" s="110"/>
      <c r="J5" s="110"/>
      <c r="K5" s="110"/>
      <c r="L5" s="249"/>
    </row>
    <row r="6" spans="2:12" x14ac:dyDescent="0.25">
      <c r="B6" s="250"/>
      <c r="C6" s="110"/>
      <c r="D6" s="110"/>
      <c r="E6" s="119"/>
      <c r="F6" s="251"/>
      <c r="H6" s="250"/>
      <c r="I6" s="110"/>
      <c r="J6" s="110"/>
      <c r="K6" s="110"/>
      <c r="L6" s="249"/>
    </row>
    <row r="7" spans="2:12" x14ac:dyDescent="0.25">
      <c r="B7" s="242" t="s">
        <v>283</v>
      </c>
      <c r="C7" s="114" t="s">
        <v>298</v>
      </c>
      <c r="D7" s="121">
        <f>+'BALANCE GENRAL '!D10</f>
        <v>41685.934708878893</v>
      </c>
      <c r="E7" s="120">
        <f>D7/D8</f>
        <v>1.8812928012094692</v>
      </c>
      <c r="F7" s="257"/>
      <c r="H7" s="242" t="s">
        <v>345</v>
      </c>
      <c r="I7" s="121" t="s">
        <v>297</v>
      </c>
      <c r="J7" s="121">
        <f>'ESTADO DE RESULTADO '!F6</f>
        <v>150000</v>
      </c>
      <c r="K7" s="238">
        <f>J7/J8</f>
        <v>1.7582943762333425</v>
      </c>
      <c r="L7" s="249"/>
    </row>
    <row r="8" spans="2:12" x14ac:dyDescent="0.25">
      <c r="B8" s="250"/>
      <c r="C8" s="110" t="s">
        <v>235</v>
      </c>
      <c r="D8" s="119">
        <f>'BALANCE GENRAL '!D34</f>
        <v>22158.132259943435</v>
      </c>
      <c r="E8" s="119"/>
      <c r="F8" s="251"/>
      <c r="H8" s="250"/>
      <c r="I8" s="119" t="s">
        <v>346</v>
      </c>
      <c r="J8" s="119">
        <f>('BALANCE GENRAL '!D27+'BALANCE GENRAL '!E27)/2</f>
        <v>85309.94697334661</v>
      </c>
      <c r="K8" s="119"/>
      <c r="L8" s="249"/>
    </row>
    <row r="9" spans="2:12" x14ac:dyDescent="0.25">
      <c r="B9" s="250"/>
      <c r="C9" s="110"/>
      <c r="D9" s="119"/>
      <c r="E9" s="119"/>
      <c r="F9" s="251"/>
      <c r="H9" s="250"/>
      <c r="I9" s="119"/>
      <c r="J9" s="119"/>
      <c r="K9" s="119"/>
      <c r="L9" s="249"/>
    </row>
    <row r="10" spans="2:12" ht="28.5" customHeight="1" x14ac:dyDescent="0.25">
      <c r="B10" s="396" t="s">
        <v>333</v>
      </c>
      <c r="C10" s="397"/>
      <c r="D10" s="397"/>
      <c r="E10" s="397"/>
      <c r="F10" s="398"/>
      <c r="H10" s="250" t="s">
        <v>347</v>
      </c>
      <c r="I10" s="119"/>
      <c r="J10" s="119"/>
      <c r="K10" s="119"/>
      <c r="L10" s="249"/>
    </row>
    <row r="11" spans="2:12" x14ac:dyDescent="0.25">
      <c r="B11" s="250"/>
      <c r="C11" s="110"/>
      <c r="D11" s="119"/>
      <c r="E11" s="119"/>
      <c r="F11" s="251"/>
      <c r="H11" s="250"/>
      <c r="I11" s="119"/>
      <c r="J11" s="119"/>
      <c r="K11" s="119"/>
      <c r="L11" s="249"/>
    </row>
    <row r="12" spans="2:12" x14ac:dyDescent="0.25">
      <c r="B12" s="250"/>
      <c r="C12" s="110"/>
      <c r="D12" s="110"/>
      <c r="E12" s="119"/>
      <c r="F12" s="251"/>
      <c r="H12" s="250"/>
      <c r="I12" s="119"/>
      <c r="J12" s="119"/>
      <c r="K12" s="119"/>
      <c r="L12" s="249"/>
    </row>
    <row r="13" spans="2:12" x14ac:dyDescent="0.25">
      <c r="B13" s="250"/>
      <c r="C13" s="110"/>
      <c r="D13" s="110"/>
      <c r="E13" s="119"/>
      <c r="F13" s="251"/>
      <c r="H13" s="252"/>
      <c r="I13" s="119"/>
      <c r="J13" s="119"/>
      <c r="K13" s="119"/>
      <c r="L13" s="251"/>
    </row>
    <row r="14" spans="2:12" x14ac:dyDescent="0.25">
      <c r="B14" s="242" t="s">
        <v>295</v>
      </c>
      <c r="C14" s="391" t="s">
        <v>299</v>
      </c>
      <c r="D14" s="391"/>
      <c r="E14" s="120">
        <f>'BALANCE GENRAL '!D10-'BALANCE GENRAL '!D36</f>
        <v>41685.934708878893</v>
      </c>
      <c r="F14" s="251"/>
      <c r="H14" s="252"/>
      <c r="I14" s="119"/>
      <c r="J14" s="119"/>
      <c r="K14" s="119"/>
      <c r="L14" s="251"/>
    </row>
    <row r="15" spans="2:12" x14ac:dyDescent="0.25">
      <c r="B15" s="242"/>
      <c r="C15" s="254"/>
      <c r="D15" s="254"/>
      <c r="E15" s="120"/>
      <c r="F15" s="251"/>
      <c r="H15" s="252"/>
      <c r="I15" s="119"/>
      <c r="J15" s="119"/>
      <c r="K15" s="119"/>
      <c r="L15" s="251"/>
    </row>
    <row r="16" spans="2:12" ht="35.25" customHeight="1" x14ac:dyDescent="0.25">
      <c r="B16" s="399" t="s">
        <v>334</v>
      </c>
      <c r="C16" s="395"/>
      <c r="D16" s="395"/>
      <c r="E16" s="395"/>
      <c r="F16" s="400"/>
      <c r="H16" s="252"/>
      <c r="I16" s="119"/>
      <c r="J16" s="119"/>
      <c r="K16" s="119"/>
      <c r="L16" s="251"/>
    </row>
    <row r="17" spans="2:12" x14ac:dyDescent="0.25">
      <c r="B17" s="243"/>
      <c r="C17" s="114"/>
      <c r="D17" s="114"/>
      <c r="E17" s="121"/>
      <c r="F17" s="244"/>
      <c r="H17" s="243"/>
      <c r="I17" s="114"/>
      <c r="J17" s="114"/>
      <c r="K17" s="121"/>
      <c r="L17" s="244"/>
    </row>
    <row r="18" spans="2:12" x14ac:dyDescent="0.25">
      <c r="B18" s="110"/>
      <c r="C18" s="110"/>
      <c r="D18" s="110"/>
      <c r="E18" s="119"/>
      <c r="F18" s="119"/>
      <c r="H18" s="110"/>
      <c r="I18" s="110"/>
      <c r="J18" s="110"/>
      <c r="K18" s="119"/>
      <c r="L18" s="119"/>
    </row>
    <row r="19" spans="2:12" ht="33.75" customHeight="1" x14ac:dyDescent="0.25">
      <c r="B19" s="395"/>
      <c r="C19" s="395"/>
      <c r="D19" s="395"/>
      <c r="E19" s="395"/>
      <c r="F19" s="395"/>
      <c r="H19" s="110"/>
      <c r="I19" s="110"/>
      <c r="J19" s="110"/>
      <c r="K19" s="119"/>
      <c r="L19" s="119"/>
    </row>
    <row r="20" spans="2:12" x14ac:dyDescent="0.25">
      <c r="B20" s="110"/>
      <c r="C20" s="110"/>
      <c r="D20" s="110"/>
      <c r="E20" s="119"/>
      <c r="F20" s="119"/>
      <c r="H20" s="110"/>
      <c r="I20" s="110"/>
      <c r="J20" s="110"/>
      <c r="K20" s="119"/>
      <c r="L20" s="119"/>
    </row>
    <row r="21" spans="2:12" x14ac:dyDescent="0.25">
      <c r="B21" s="110"/>
      <c r="C21" s="110"/>
      <c r="D21" s="110"/>
      <c r="E21" s="119"/>
      <c r="F21" s="119"/>
      <c r="H21" s="110"/>
      <c r="I21" s="110"/>
      <c r="J21" s="110"/>
      <c r="K21" s="119"/>
      <c r="L21" s="119"/>
    </row>
    <row r="22" spans="2:12" x14ac:dyDescent="0.25">
      <c r="B22" s="110"/>
      <c r="C22" s="110"/>
      <c r="D22" s="110"/>
      <c r="E22" s="119"/>
      <c r="F22" s="119"/>
      <c r="H22" s="110"/>
      <c r="I22" s="110"/>
      <c r="J22" s="110"/>
      <c r="K22" s="119"/>
      <c r="L22" s="119"/>
    </row>
    <row r="23" spans="2:12" x14ac:dyDescent="0.25">
      <c r="B23" s="110"/>
      <c r="C23" s="110"/>
      <c r="D23" s="110"/>
      <c r="E23" s="119"/>
      <c r="F23" s="119"/>
      <c r="H23" s="110"/>
      <c r="I23" s="110"/>
      <c r="J23" s="110"/>
      <c r="K23" s="119"/>
      <c r="L23" s="119"/>
    </row>
    <row r="24" spans="2:12" x14ac:dyDescent="0.25">
      <c r="K24" s="125"/>
      <c r="L24" s="125"/>
    </row>
    <row r="25" spans="2:12" ht="15.75" thickBot="1" x14ac:dyDescent="0.3">
      <c r="K25" s="125"/>
      <c r="L25" s="125"/>
    </row>
    <row r="26" spans="2:12" x14ac:dyDescent="0.25">
      <c r="B26" s="108" t="s">
        <v>284</v>
      </c>
      <c r="C26" s="109"/>
      <c r="D26" s="109"/>
      <c r="E26" s="126"/>
      <c r="F26" s="127"/>
      <c r="H26" s="108"/>
      <c r="I26" s="109"/>
      <c r="J26" s="109"/>
      <c r="K26" s="126"/>
      <c r="L26" s="127"/>
    </row>
    <row r="27" spans="2:12" ht="20.25" x14ac:dyDescent="0.3">
      <c r="B27" s="403" t="s">
        <v>332</v>
      </c>
      <c r="C27" s="404"/>
      <c r="D27" s="110"/>
      <c r="E27" s="119"/>
      <c r="F27" s="122"/>
      <c r="H27" s="232" t="s">
        <v>285</v>
      </c>
      <c r="I27" s="110"/>
      <c r="J27" s="110"/>
      <c r="K27" s="119"/>
      <c r="L27" s="122"/>
    </row>
    <row r="28" spans="2:12" x14ac:dyDescent="0.25">
      <c r="B28" s="112"/>
      <c r="C28" s="110"/>
      <c r="D28" s="110"/>
      <c r="E28" s="119"/>
      <c r="F28" s="122"/>
      <c r="H28" s="112"/>
      <c r="I28" s="110"/>
      <c r="J28" s="110"/>
      <c r="K28" s="119"/>
      <c r="L28" s="122"/>
    </row>
    <row r="29" spans="2:12" x14ac:dyDescent="0.25">
      <c r="B29" s="113" t="s">
        <v>286</v>
      </c>
      <c r="C29" s="114" t="s">
        <v>300</v>
      </c>
      <c r="D29" s="114">
        <f>'BALANCE GENRAL '!D39</f>
        <v>41025.156755340315</v>
      </c>
      <c r="E29" s="235">
        <f>D29/D30</f>
        <v>0.52107847281009279</v>
      </c>
      <c r="F29" s="122"/>
      <c r="H29" s="113" t="s">
        <v>336</v>
      </c>
      <c r="I29" s="117" t="s">
        <v>338</v>
      </c>
      <c r="J29" s="110">
        <f>'ESTADO DE RESULTADO '!G28</f>
        <v>13884.145217474204</v>
      </c>
      <c r="K29" s="235">
        <f>J29/J30</f>
        <v>0.17634860554806425</v>
      </c>
      <c r="L29" s="111"/>
    </row>
    <row r="30" spans="2:12" x14ac:dyDescent="0.25">
      <c r="B30" s="112"/>
      <c r="C30" s="110" t="s">
        <v>287</v>
      </c>
      <c r="D30" s="110">
        <f>'BALANCE GENRAL '!D27</f>
        <v>78731.24470887889</v>
      </c>
      <c r="E30" s="119"/>
      <c r="F30" s="122"/>
      <c r="H30" s="112"/>
      <c r="I30" s="118" t="s">
        <v>337</v>
      </c>
      <c r="J30" s="118">
        <f>'BALANCE GENRAL '!D27</f>
        <v>78731.24470887889</v>
      </c>
      <c r="K30" s="110"/>
      <c r="L30" s="122"/>
    </row>
    <row r="31" spans="2:12" ht="32.25" customHeight="1" x14ac:dyDescent="0.25">
      <c r="B31" s="401" t="s">
        <v>355</v>
      </c>
      <c r="C31" s="395"/>
      <c r="D31" s="395"/>
      <c r="E31" s="395"/>
      <c r="F31" s="402"/>
      <c r="H31" s="112"/>
      <c r="I31" s="234"/>
      <c r="J31" s="234"/>
      <c r="K31" s="119"/>
      <c r="L31" s="122"/>
    </row>
    <row r="32" spans="2:12" x14ac:dyDescent="0.25">
      <c r="B32" s="112"/>
      <c r="C32" s="110"/>
      <c r="D32" s="110"/>
      <c r="E32" s="119"/>
      <c r="F32" s="122"/>
      <c r="H32" s="112"/>
      <c r="I32" s="110"/>
      <c r="J32" s="110"/>
      <c r="K32" s="119"/>
      <c r="L32" s="122"/>
    </row>
    <row r="33" spans="2:12" x14ac:dyDescent="0.25">
      <c r="B33" s="112"/>
      <c r="C33" s="110"/>
      <c r="D33" s="110"/>
      <c r="E33" s="119"/>
      <c r="F33" s="122"/>
      <c r="H33" s="112"/>
      <c r="I33" s="110"/>
      <c r="J33" s="110"/>
      <c r="K33" s="119"/>
      <c r="L33" s="122"/>
    </row>
    <row r="34" spans="2:12" x14ac:dyDescent="0.25">
      <c r="B34" s="113" t="s">
        <v>288</v>
      </c>
      <c r="C34" s="390" t="s">
        <v>301</v>
      </c>
      <c r="D34" s="390"/>
      <c r="E34" s="121">
        <f>'BALANCE GENRAL '!D27</f>
        <v>78731.24470887889</v>
      </c>
      <c r="F34" s="241">
        <f>E34/E35</f>
        <v>2.0880247456562318</v>
      </c>
      <c r="H34" s="113" t="s">
        <v>339</v>
      </c>
      <c r="I34" s="390" t="s">
        <v>296</v>
      </c>
      <c r="J34" s="390"/>
      <c r="K34" s="121">
        <f>'ESTADO DE RESULTADO '!F28</f>
        <v>10859.536758184717</v>
      </c>
      <c r="L34" s="237">
        <f>K34/K35</f>
        <v>0.28800486466710185</v>
      </c>
    </row>
    <row r="35" spans="2:12" x14ac:dyDescent="0.25">
      <c r="B35" s="112"/>
      <c r="C35" s="391" t="s">
        <v>289</v>
      </c>
      <c r="D35" s="391"/>
      <c r="E35" s="119">
        <f>'BALANCE GENRAL '!D45</f>
        <v>37706.087953538576</v>
      </c>
      <c r="F35" s="122"/>
      <c r="H35" s="112"/>
      <c r="I35" s="391" t="s">
        <v>289</v>
      </c>
      <c r="J35" s="391"/>
      <c r="K35" s="119">
        <f>'BALANCE GENRAL '!D45</f>
        <v>37706.087953538576</v>
      </c>
      <c r="L35" s="122"/>
    </row>
    <row r="36" spans="2:12" x14ac:dyDescent="0.25">
      <c r="B36" s="112" t="s">
        <v>335</v>
      </c>
      <c r="C36" s="231"/>
      <c r="D36" s="231"/>
      <c r="E36" s="119"/>
      <c r="F36" s="122"/>
      <c r="H36" s="112"/>
      <c r="I36" s="233"/>
      <c r="J36" s="233"/>
      <c r="K36" s="119"/>
      <c r="L36" s="122"/>
    </row>
    <row r="37" spans="2:12" x14ac:dyDescent="0.25">
      <c r="B37" s="236"/>
      <c r="C37" s="110"/>
      <c r="D37" s="110"/>
      <c r="E37" s="119"/>
      <c r="F37" s="122"/>
      <c r="H37" s="112" t="s">
        <v>340</v>
      </c>
      <c r="I37" s="110"/>
      <c r="J37" s="110"/>
      <c r="K37" s="119"/>
      <c r="L37" s="122"/>
    </row>
    <row r="38" spans="2:12" ht="15.75" thickBot="1" x14ac:dyDescent="0.3">
      <c r="B38" s="115"/>
      <c r="C38" s="116"/>
      <c r="D38" s="116"/>
      <c r="E38" s="123"/>
      <c r="F38" s="124"/>
      <c r="H38" s="112"/>
      <c r="I38" s="110"/>
      <c r="J38" s="110"/>
      <c r="K38" s="119"/>
      <c r="L38" s="122"/>
    </row>
    <row r="39" spans="2:12" x14ac:dyDescent="0.25">
      <c r="H39" s="112"/>
      <c r="I39" s="110"/>
      <c r="J39" s="110"/>
      <c r="K39" s="119"/>
      <c r="L39" s="111"/>
    </row>
    <row r="40" spans="2:12" x14ac:dyDescent="0.25">
      <c r="H40" s="113" t="s">
        <v>341</v>
      </c>
      <c r="I40" s="117" t="s">
        <v>343</v>
      </c>
      <c r="J40" s="110">
        <f>'ESTADO DE RESULTADO '!F20</f>
        <v>20474.150000000009</v>
      </c>
      <c r="K40" s="235">
        <f>J40/J41</f>
        <v>0.3097750765580935</v>
      </c>
      <c r="L40" s="111"/>
    </row>
    <row r="41" spans="2:12" x14ac:dyDescent="0.25">
      <c r="H41" s="112"/>
      <c r="I41" s="118" t="s">
        <v>342</v>
      </c>
      <c r="J41" s="118">
        <f>'ESTADO DE RESULTADO '!F10</f>
        <v>66093.600000000006</v>
      </c>
      <c r="K41" s="110"/>
      <c r="L41" s="111"/>
    </row>
    <row r="42" spans="2:12" x14ac:dyDescent="0.25">
      <c r="H42" s="112"/>
      <c r="I42" s="110"/>
      <c r="J42" s="110"/>
      <c r="K42" s="110"/>
      <c r="L42" s="111"/>
    </row>
    <row r="43" spans="2:12" x14ac:dyDescent="0.25">
      <c r="H43" s="112" t="s">
        <v>348</v>
      </c>
      <c r="I43" s="110"/>
      <c r="J43" s="110"/>
      <c r="K43" s="110"/>
      <c r="L43" s="111"/>
    </row>
    <row r="44" spans="2:12" x14ac:dyDescent="0.25">
      <c r="H44" s="112"/>
      <c r="I44" s="110"/>
      <c r="J44" s="110"/>
      <c r="K44" s="110"/>
      <c r="L44" s="111"/>
    </row>
    <row r="45" spans="2:12" x14ac:dyDescent="0.25">
      <c r="H45" s="112"/>
      <c r="I45" s="110"/>
      <c r="J45" s="110"/>
      <c r="K45" s="110"/>
      <c r="L45" s="111"/>
    </row>
    <row r="46" spans="2:12" x14ac:dyDescent="0.25">
      <c r="H46" s="112"/>
      <c r="I46" s="110"/>
      <c r="J46" s="110"/>
      <c r="K46" s="110"/>
      <c r="L46" s="111"/>
    </row>
    <row r="47" spans="2:12" ht="15.75" thickBot="1" x14ac:dyDescent="0.3">
      <c r="H47" s="115"/>
      <c r="I47" s="116"/>
      <c r="J47" s="116"/>
      <c r="K47" s="116"/>
      <c r="L47" s="239"/>
    </row>
  </sheetData>
  <mergeCells count="12">
    <mergeCell ref="C34:D34"/>
    <mergeCell ref="I34:J34"/>
    <mergeCell ref="C35:D35"/>
    <mergeCell ref="I35:J35"/>
    <mergeCell ref="B2:L2"/>
    <mergeCell ref="B5:C5"/>
    <mergeCell ref="C14:D14"/>
    <mergeCell ref="B19:F19"/>
    <mergeCell ref="B10:F10"/>
    <mergeCell ref="B16:F16"/>
    <mergeCell ref="B31:F31"/>
    <mergeCell ref="B27:C27"/>
  </mergeCells>
  <conditionalFormatting sqref="F7">
    <cfRule type="iconSet" priority="2">
      <iconSet iconSet="3Symbols">
        <cfvo type="percent" val="0"/>
        <cfvo type="percent" val="2"/>
        <cfvo type="percent" val="&quot;$E$7&quot;"/>
      </iconSet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K1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{3D254B69-B7BF-4D5A-BE87-305B38313F62}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254B69-B7BF-4D5A-BE87-305B38313F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iconSet" priority="4" id="{F0484F23-7C08-4439-A354-0AC7522AFE1B}">
            <x14:iconSet custom="1">
              <x14:cfvo type="percent">
                <xm:f>0</xm:f>
              </x14:cfvo>
              <x14:cfvo type="percent">
                <xm:f>2.5</xm:f>
              </x14:cfvo>
              <x14:cfvo type="percent">
                <xm:f>"1,5-2"</xm:f>
              </x14:cfvo>
              <x14:cfIcon iconSet="3TrafficLights1" iconId="0"/>
              <x14:cfIcon iconSet="3TrafficLights1" iconId="2"/>
              <x14:cfIcon iconSet="3TrafficLights1" iconId="2"/>
            </x14:iconSet>
          </x14:cfRule>
          <xm:sqref>F7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6:I43"/>
  <sheetViews>
    <sheetView view="pageLayout" zoomScale="85" zoomScaleNormal="100" zoomScalePageLayoutView="85" workbookViewId="0"/>
  </sheetViews>
  <sheetFormatPr baseColWidth="10" defaultRowHeight="15" x14ac:dyDescent="0.25"/>
  <cols>
    <col min="1" max="7" width="11.42578125" style="107"/>
    <col min="8" max="16384" width="11.42578125" style="1"/>
  </cols>
  <sheetData>
    <row r="16" spans="8:8" x14ac:dyDescent="0.25">
      <c r="H16"/>
    </row>
    <row r="21" spans="1:9" x14ac:dyDescent="0.25">
      <c r="A21" s="66"/>
    </row>
    <row r="22" spans="1:9" x14ac:dyDescent="0.25">
      <c r="A22" s="66"/>
      <c r="I22"/>
    </row>
    <row r="23" spans="1:9" x14ac:dyDescent="0.25">
      <c r="D23" s="323" t="s">
        <v>239</v>
      </c>
      <c r="E23" s="323"/>
      <c r="F23" s="323"/>
    </row>
    <row r="27" spans="1:9" x14ac:dyDescent="0.25">
      <c r="I27"/>
    </row>
    <row r="29" spans="1:9" x14ac:dyDescent="0.25">
      <c r="G29" s="66"/>
    </row>
    <row r="30" spans="1:9" x14ac:dyDescent="0.25">
      <c r="H30"/>
    </row>
    <row r="31" spans="1:9" x14ac:dyDescent="0.25">
      <c r="H31"/>
    </row>
    <row r="43" spans="4:6" x14ac:dyDescent="0.25">
      <c r="D43" s="323" t="s">
        <v>240</v>
      </c>
      <c r="E43" s="323"/>
      <c r="F43" s="323"/>
    </row>
  </sheetData>
  <mergeCells count="2">
    <mergeCell ref="D23:F23"/>
    <mergeCell ref="D43:F43"/>
  </mergeCells>
  <pageMargins left="0.7" right="0.7" top="0.75" bottom="0.75" header="0.3" footer="0.3"/>
  <pageSetup orientation="portrait" r:id="rId1"/>
  <headerFooter>
    <oddHeader xml:space="preserve">&amp;C.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2:M121"/>
  <sheetViews>
    <sheetView tabSelected="1" zoomScaleNormal="100" workbookViewId="0">
      <selection activeCell="H2" sqref="H2"/>
    </sheetView>
  </sheetViews>
  <sheetFormatPr baseColWidth="10" defaultRowHeight="15" x14ac:dyDescent="0.25"/>
  <cols>
    <col min="1" max="1" width="11.42578125" style="66"/>
    <col min="2" max="2" width="31" style="66" customWidth="1"/>
    <col min="3" max="3" width="21.140625" style="66" customWidth="1"/>
    <col min="4" max="4" width="17.28515625" style="66" bestFit="1" customWidth="1"/>
    <col min="5" max="5" width="16.5703125" style="66" customWidth="1"/>
    <col min="6" max="6" width="13.7109375" style="66" bestFit="1" customWidth="1"/>
    <col min="7" max="13" width="11.42578125" style="66"/>
  </cols>
  <sheetData>
    <row r="2" spans="2:7" ht="59.25" x14ac:dyDescent="0.75">
      <c r="B2" s="324" t="s">
        <v>308</v>
      </c>
      <c r="C2" s="325"/>
      <c r="D2" s="325"/>
      <c r="E2" s="325"/>
      <c r="F2" s="325"/>
      <c r="G2" s="326"/>
    </row>
    <row r="4" spans="2:7" ht="20.25" x14ac:dyDescent="0.3">
      <c r="B4" s="345" t="s">
        <v>51</v>
      </c>
      <c r="C4" s="346"/>
      <c r="D4" s="346"/>
      <c r="E4" s="346"/>
      <c r="F4" s="346"/>
      <c r="G4" s="347"/>
    </row>
    <row r="5" spans="2:7" ht="15.75" x14ac:dyDescent="0.25">
      <c r="B5" s="349" t="s">
        <v>356</v>
      </c>
      <c r="C5" s="349"/>
      <c r="D5" s="349"/>
      <c r="E5" s="349"/>
      <c r="F5" s="349"/>
      <c r="G5" s="260">
        <v>2.7799999999999998E-2</v>
      </c>
    </row>
    <row r="6" spans="2:7" ht="15.75" x14ac:dyDescent="0.25">
      <c r="B6" s="348" t="s">
        <v>52</v>
      </c>
      <c r="C6" s="348"/>
      <c r="D6" s="348"/>
      <c r="E6" s="348"/>
      <c r="F6" s="348"/>
      <c r="G6" s="260">
        <v>1.0999999999999999E-2</v>
      </c>
    </row>
    <row r="7" spans="2:7" ht="15.75" x14ac:dyDescent="0.25">
      <c r="B7" s="327" t="s">
        <v>111</v>
      </c>
      <c r="C7" s="328"/>
      <c r="D7" s="328"/>
      <c r="E7" s="328"/>
      <c r="F7" s="329"/>
      <c r="G7" s="260">
        <v>1.83E-2</v>
      </c>
    </row>
    <row r="8" spans="2:7" ht="15.75" x14ac:dyDescent="0.25">
      <c r="B8" s="261" t="s">
        <v>230</v>
      </c>
      <c r="C8" s="262"/>
      <c r="D8" s="262"/>
      <c r="E8" s="262"/>
      <c r="F8" s="263"/>
      <c r="G8" s="260">
        <v>1.15E-2</v>
      </c>
    </row>
    <row r="9" spans="2:7" ht="15.75" x14ac:dyDescent="0.25">
      <c r="B9" s="327" t="s">
        <v>80</v>
      </c>
      <c r="C9" s="328"/>
      <c r="D9" s="328"/>
      <c r="E9" s="328"/>
      <c r="F9" s="329"/>
      <c r="G9" s="264">
        <v>0.22</v>
      </c>
    </row>
    <row r="10" spans="2:7" ht="15.75" x14ac:dyDescent="0.25">
      <c r="B10" s="327" t="s">
        <v>47</v>
      </c>
      <c r="C10" s="328"/>
      <c r="D10" s="328"/>
      <c r="E10" s="328"/>
      <c r="F10" s="329"/>
      <c r="G10" s="264">
        <v>0.15</v>
      </c>
    </row>
    <row r="11" spans="2:7" ht="15.75" x14ac:dyDescent="0.25">
      <c r="B11" s="327" t="s">
        <v>48</v>
      </c>
      <c r="C11" s="328"/>
      <c r="D11" s="328"/>
      <c r="E11" s="328"/>
      <c r="F11" s="329"/>
      <c r="G11" s="264">
        <v>0.1</v>
      </c>
    </row>
    <row r="12" spans="2:7" ht="15.75" x14ac:dyDescent="0.25">
      <c r="B12" s="261" t="s">
        <v>309</v>
      </c>
      <c r="C12" s="262"/>
      <c r="D12" s="262"/>
      <c r="E12" s="262"/>
      <c r="F12" s="263"/>
      <c r="G12" s="265">
        <v>366</v>
      </c>
    </row>
    <row r="13" spans="2:7" ht="15.75" x14ac:dyDescent="0.25">
      <c r="B13" s="327" t="s">
        <v>188</v>
      </c>
      <c r="C13" s="328"/>
      <c r="D13" s="328"/>
      <c r="E13" s="328"/>
      <c r="F13" s="329"/>
      <c r="G13" s="260">
        <v>0.10920000000000001</v>
      </c>
    </row>
    <row r="14" spans="2:7" ht="15.75" x14ac:dyDescent="0.25">
      <c r="B14" s="327" t="s">
        <v>224</v>
      </c>
      <c r="C14" s="328"/>
      <c r="D14" s="328"/>
      <c r="E14" s="328"/>
      <c r="F14" s="329"/>
      <c r="G14" s="264">
        <v>0.37</v>
      </c>
    </row>
    <row r="15" spans="2:7" ht="15.75" x14ac:dyDescent="0.25">
      <c r="B15" s="327" t="s">
        <v>49</v>
      </c>
      <c r="C15" s="328"/>
      <c r="D15" s="328"/>
      <c r="E15" s="328"/>
      <c r="F15" s="329"/>
      <c r="G15" s="260">
        <v>9.4500000000000001E-2</v>
      </c>
    </row>
    <row r="16" spans="2:7" ht="15.75" x14ac:dyDescent="0.25">
      <c r="B16" s="327" t="s">
        <v>104</v>
      </c>
      <c r="C16" s="328"/>
      <c r="D16" s="328"/>
      <c r="E16" s="328"/>
      <c r="F16" s="329"/>
      <c r="G16" s="260">
        <v>0.1115</v>
      </c>
    </row>
    <row r="17" spans="2:8" ht="15.75" x14ac:dyDescent="0.25">
      <c r="B17" s="327" t="s">
        <v>50</v>
      </c>
      <c r="C17" s="328"/>
      <c r="D17" s="328"/>
      <c r="E17" s="328"/>
      <c r="F17" s="329"/>
      <c r="G17" s="260">
        <v>8.3299999999999999E-2</v>
      </c>
    </row>
    <row r="18" spans="2:8" ht="15.75" x14ac:dyDescent="0.25">
      <c r="B18" s="327" t="s">
        <v>112</v>
      </c>
      <c r="C18" s="328"/>
      <c r="D18" s="328"/>
      <c r="E18" s="328"/>
      <c r="F18" s="329"/>
      <c r="G18" s="260">
        <v>0.16400000000000001</v>
      </c>
      <c r="H18" s="266"/>
    </row>
    <row r="19" spans="2:8" ht="15.75" x14ac:dyDescent="0.25">
      <c r="B19" s="353" t="s">
        <v>262</v>
      </c>
      <c r="C19" s="354"/>
      <c r="D19" s="354"/>
      <c r="E19" s="354"/>
      <c r="F19" s="355"/>
      <c r="G19" s="264">
        <v>0.35</v>
      </c>
    </row>
    <row r="20" spans="2:8" ht="15.75" x14ac:dyDescent="0.25">
      <c r="B20" s="353" t="s">
        <v>263</v>
      </c>
      <c r="C20" s="354"/>
      <c r="D20" s="354"/>
      <c r="E20" s="354"/>
      <c r="F20" s="355"/>
      <c r="G20" s="264">
        <v>0.4</v>
      </c>
    </row>
    <row r="21" spans="2:8" ht="15.75" x14ac:dyDescent="0.25">
      <c r="B21" s="361" t="s">
        <v>349</v>
      </c>
      <c r="C21" s="362"/>
      <c r="D21" s="362"/>
      <c r="E21" s="362"/>
      <c r="F21" s="363"/>
      <c r="G21" s="264">
        <v>0.25</v>
      </c>
    </row>
    <row r="23" spans="2:8" x14ac:dyDescent="0.25">
      <c r="B23" s="339" t="s">
        <v>46</v>
      </c>
      <c r="C23" s="340"/>
      <c r="D23" s="340"/>
      <c r="E23" s="341"/>
      <c r="F23" s="74"/>
    </row>
    <row r="24" spans="2:8" x14ac:dyDescent="0.25">
      <c r="B24" s="320" t="s">
        <v>28</v>
      </c>
      <c r="C24" s="320" t="s">
        <v>45</v>
      </c>
      <c r="D24" s="321" t="s">
        <v>44</v>
      </c>
      <c r="E24" s="322" t="s">
        <v>26</v>
      </c>
      <c r="F24" s="74"/>
    </row>
    <row r="25" spans="2:8" x14ac:dyDescent="0.25">
      <c r="B25" s="356" t="s">
        <v>246</v>
      </c>
      <c r="C25" s="357"/>
      <c r="D25" s="357"/>
      <c r="E25" s="358"/>
      <c r="F25" s="267">
        <f>SUM(E26:E32)</f>
        <v>18845</v>
      </c>
    </row>
    <row r="26" spans="2:8" x14ac:dyDescent="0.25">
      <c r="B26" s="268" t="s">
        <v>58</v>
      </c>
      <c r="C26" s="258">
        <v>1</v>
      </c>
      <c r="D26" s="269">
        <v>850</v>
      </c>
      <c r="E26" s="64">
        <f>SUM(C26*D26)</f>
        <v>850</v>
      </c>
      <c r="F26" s="63"/>
    </row>
    <row r="27" spans="2:8" x14ac:dyDescent="0.25">
      <c r="B27" s="268" t="s">
        <v>54</v>
      </c>
      <c r="C27" s="258">
        <v>1</v>
      </c>
      <c r="D27" s="270">
        <v>745</v>
      </c>
      <c r="E27" s="64">
        <f t="shared" ref="E27:E46" si="0">SUM(C27*D27)</f>
        <v>745</v>
      </c>
      <c r="F27" s="63"/>
    </row>
    <row r="28" spans="2:8" x14ac:dyDescent="0.25">
      <c r="B28" s="268" t="s">
        <v>53</v>
      </c>
      <c r="C28" s="258">
        <v>1</v>
      </c>
      <c r="D28" s="270">
        <v>950</v>
      </c>
      <c r="E28" s="64">
        <f t="shared" si="0"/>
        <v>950</v>
      </c>
      <c r="F28" s="63"/>
    </row>
    <row r="29" spans="2:8" x14ac:dyDescent="0.25">
      <c r="B29" s="268" t="s">
        <v>55</v>
      </c>
      <c r="C29" s="258">
        <v>1</v>
      </c>
      <c r="D29" s="270">
        <v>2300</v>
      </c>
      <c r="E29" s="64">
        <f t="shared" si="0"/>
        <v>2300</v>
      </c>
      <c r="F29" s="63"/>
    </row>
    <row r="30" spans="2:8" x14ac:dyDescent="0.25">
      <c r="B30" s="268" t="s">
        <v>56</v>
      </c>
      <c r="C30" s="258">
        <v>1</v>
      </c>
      <c r="D30" s="270">
        <v>10500</v>
      </c>
      <c r="E30" s="64">
        <f t="shared" si="0"/>
        <v>10500</v>
      </c>
      <c r="F30" s="63"/>
    </row>
    <row r="31" spans="2:8" x14ac:dyDescent="0.25">
      <c r="B31" s="268" t="s">
        <v>57</v>
      </c>
      <c r="C31" s="258">
        <v>1</v>
      </c>
      <c r="D31" s="270">
        <v>3500</v>
      </c>
      <c r="E31" s="64">
        <f t="shared" si="0"/>
        <v>3500</v>
      </c>
      <c r="F31" s="63"/>
    </row>
    <row r="32" spans="2:8" x14ac:dyDescent="0.25">
      <c r="B32" s="268"/>
      <c r="C32" s="258"/>
      <c r="D32" s="270"/>
      <c r="E32" s="64">
        <f t="shared" si="0"/>
        <v>0</v>
      </c>
      <c r="F32" s="63"/>
    </row>
    <row r="33" spans="2:6" x14ac:dyDescent="0.25">
      <c r="B33" s="356" t="s">
        <v>247</v>
      </c>
      <c r="C33" s="357"/>
      <c r="D33" s="357"/>
      <c r="E33" s="358"/>
      <c r="F33" s="64">
        <f>SUM(E34:E36)</f>
        <v>800</v>
      </c>
    </row>
    <row r="34" spans="2:6" x14ac:dyDescent="0.25">
      <c r="B34" s="63" t="s">
        <v>43</v>
      </c>
      <c r="C34" s="258">
        <v>5</v>
      </c>
      <c r="D34" s="271">
        <v>130</v>
      </c>
      <c r="E34" s="64">
        <f t="shared" si="0"/>
        <v>650</v>
      </c>
      <c r="F34" s="63"/>
    </row>
    <row r="35" spans="2:6" x14ac:dyDescent="0.25">
      <c r="B35" s="63" t="s">
        <v>42</v>
      </c>
      <c r="C35" s="258">
        <v>5</v>
      </c>
      <c r="D35" s="271">
        <v>30</v>
      </c>
      <c r="E35" s="64">
        <f t="shared" si="0"/>
        <v>150</v>
      </c>
      <c r="F35" s="63"/>
    </row>
    <row r="36" spans="2:6" x14ac:dyDescent="0.25">
      <c r="B36" s="63"/>
      <c r="C36" s="258"/>
      <c r="D36" s="271"/>
      <c r="E36" s="64">
        <f t="shared" si="0"/>
        <v>0</v>
      </c>
      <c r="F36" s="63"/>
    </row>
    <row r="37" spans="2:6" x14ac:dyDescent="0.25">
      <c r="B37" s="356" t="s">
        <v>248</v>
      </c>
      <c r="C37" s="357"/>
      <c r="D37" s="357"/>
      <c r="E37" s="358"/>
      <c r="F37" s="64">
        <f>SUM(E38:E40)</f>
        <v>4300</v>
      </c>
    </row>
    <row r="38" spans="2:6" x14ac:dyDescent="0.25">
      <c r="B38" s="63" t="s">
        <v>41</v>
      </c>
      <c r="C38" s="258">
        <v>5</v>
      </c>
      <c r="D38" s="271">
        <v>800</v>
      </c>
      <c r="E38" s="64">
        <f t="shared" si="0"/>
        <v>4000</v>
      </c>
      <c r="F38" s="63"/>
    </row>
    <row r="39" spans="2:6" x14ac:dyDescent="0.25">
      <c r="B39" s="63" t="s">
        <v>60</v>
      </c>
      <c r="C39" s="258">
        <v>1</v>
      </c>
      <c r="D39" s="271">
        <v>300</v>
      </c>
      <c r="E39" s="64">
        <f t="shared" si="0"/>
        <v>300</v>
      </c>
      <c r="F39" s="63"/>
    </row>
    <row r="40" spans="2:6" x14ac:dyDescent="0.25">
      <c r="B40" s="63"/>
      <c r="C40" s="258"/>
      <c r="D40" s="271"/>
      <c r="E40" s="64">
        <f t="shared" si="0"/>
        <v>0</v>
      </c>
      <c r="F40" s="63"/>
    </row>
    <row r="41" spans="2:6" x14ac:dyDescent="0.25">
      <c r="B41" s="356" t="s">
        <v>249</v>
      </c>
      <c r="C41" s="357"/>
      <c r="D41" s="357"/>
      <c r="E41" s="358"/>
      <c r="F41" s="64">
        <f>SUM(E42:E43)</f>
        <v>20</v>
      </c>
    </row>
    <row r="42" spans="2:6" x14ac:dyDescent="0.25">
      <c r="B42" s="63" t="s">
        <v>22</v>
      </c>
      <c r="C42" s="258">
        <v>1</v>
      </c>
      <c r="D42" s="271">
        <v>20</v>
      </c>
      <c r="E42" s="64">
        <f t="shared" si="0"/>
        <v>20</v>
      </c>
      <c r="F42" s="63"/>
    </row>
    <row r="43" spans="2:6" x14ac:dyDescent="0.25">
      <c r="B43" s="63"/>
      <c r="C43" s="258"/>
      <c r="D43" s="271"/>
      <c r="E43" s="64">
        <f t="shared" si="0"/>
        <v>0</v>
      </c>
      <c r="F43" s="63"/>
    </row>
    <row r="44" spans="2:6" x14ac:dyDescent="0.25">
      <c r="B44" s="356" t="s">
        <v>250</v>
      </c>
      <c r="C44" s="357"/>
      <c r="D44" s="357"/>
      <c r="E44" s="358"/>
      <c r="F44" s="64">
        <f>SUM(E45:E46)</f>
        <v>20000</v>
      </c>
    </row>
    <row r="45" spans="2:6" x14ac:dyDescent="0.25">
      <c r="B45" s="63" t="s">
        <v>59</v>
      </c>
      <c r="C45" s="258">
        <v>1</v>
      </c>
      <c r="D45" s="272">
        <v>20000</v>
      </c>
      <c r="E45" s="64">
        <f t="shared" si="0"/>
        <v>20000</v>
      </c>
      <c r="F45" s="63"/>
    </row>
    <row r="46" spans="2:6" x14ac:dyDescent="0.25">
      <c r="B46" s="63"/>
      <c r="C46" s="258"/>
      <c r="D46" s="272"/>
      <c r="E46" s="64">
        <f t="shared" si="0"/>
        <v>0</v>
      </c>
      <c r="F46" s="63"/>
    </row>
    <row r="47" spans="2:6" x14ac:dyDescent="0.25">
      <c r="B47" s="350" t="s">
        <v>40</v>
      </c>
      <c r="C47" s="359"/>
      <c r="D47" s="359"/>
      <c r="E47" s="360"/>
      <c r="F47" s="64">
        <f>SUM(F25:F44)</f>
        <v>43965</v>
      </c>
    </row>
    <row r="48" spans="2:6" x14ac:dyDescent="0.25">
      <c r="B48" s="273"/>
      <c r="C48" s="273"/>
      <c r="D48" s="273"/>
      <c r="E48" s="274"/>
    </row>
    <row r="49" spans="2:6" x14ac:dyDescent="0.25">
      <c r="B49" s="344" t="s">
        <v>237</v>
      </c>
      <c r="C49" s="344"/>
      <c r="D49" s="344"/>
      <c r="E49" s="344"/>
      <c r="F49" s="344"/>
    </row>
    <row r="50" spans="2:6" ht="45" x14ac:dyDescent="0.25">
      <c r="B50" s="275" t="s">
        <v>82</v>
      </c>
      <c r="C50" s="275" t="s">
        <v>151</v>
      </c>
      <c r="D50" s="275" t="s">
        <v>157</v>
      </c>
      <c r="E50" s="62" t="s">
        <v>83</v>
      </c>
      <c r="F50" s="62" t="s">
        <v>84</v>
      </c>
    </row>
    <row r="51" spans="2:6" x14ac:dyDescent="0.25">
      <c r="B51" s="276" t="s">
        <v>58</v>
      </c>
      <c r="C51" s="277">
        <f t="shared" ref="C51:C56" si="1">D26</f>
        <v>850</v>
      </c>
      <c r="D51" s="278">
        <v>10</v>
      </c>
      <c r="E51" s="279">
        <v>0.1</v>
      </c>
      <c r="F51" s="277">
        <f t="shared" ref="F51:F62" si="2">C51*E51</f>
        <v>85</v>
      </c>
    </row>
    <row r="52" spans="2:6" x14ac:dyDescent="0.25">
      <c r="B52" s="276" t="s">
        <v>54</v>
      </c>
      <c r="C52" s="277">
        <f t="shared" si="1"/>
        <v>745</v>
      </c>
      <c r="D52" s="278">
        <v>10</v>
      </c>
      <c r="E52" s="279">
        <v>0.1</v>
      </c>
      <c r="F52" s="277">
        <f t="shared" si="2"/>
        <v>74.5</v>
      </c>
    </row>
    <row r="53" spans="2:6" x14ac:dyDescent="0.25">
      <c r="B53" s="276" t="s">
        <v>53</v>
      </c>
      <c r="C53" s="277">
        <f t="shared" si="1"/>
        <v>950</v>
      </c>
      <c r="D53" s="278">
        <v>10</v>
      </c>
      <c r="E53" s="279">
        <v>0.1</v>
      </c>
      <c r="F53" s="277">
        <f t="shared" si="2"/>
        <v>95</v>
      </c>
    </row>
    <row r="54" spans="2:6" x14ac:dyDescent="0.25">
      <c r="B54" s="276" t="s">
        <v>55</v>
      </c>
      <c r="C54" s="277">
        <f t="shared" si="1"/>
        <v>2300</v>
      </c>
      <c r="D54" s="278">
        <v>10</v>
      </c>
      <c r="E54" s="279">
        <v>0.1</v>
      </c>
      <c r="F54" s="277">
        <f t="shared" si="2"/>
        <v>230</v>
      </c>
    </row>
    <row r="55" spans="2:6" x14ac:dyDescent="0.25">
      <c r="B55" s="276" t="s">
        <v>56</v>
      </c>
      <c r="C55" s="277">
        <f t="shared" si="1"/>
        <v>10500</v>
      </c>
      <c r="D55" s="278">
        <v>10</v>
      </c>
      <c r="E55" s="279">
        <v>0.1</v>
      </c>
      <c r="F55" s="277">
        <f t="shared" si="2"/>
        <v>1050</v>
      </c>
    </row>
    <row r="56" spans="2:6" x14ac:dyDescent="0.25">
      <c r="B56" s="276" t="s">
        <v>57</v>
      </c>
      <c r="C56" s="277">
        <f t="shared" si="1"/>
        <v>3500</v>
      </c>
      <c r="D56" s="278">
        <v>10</v>
      </c>
      <c r="E56" s="279">
        <v>0.1</v>
      </c>
      <c r="F56" s="277">
        <f t="shared" si="2"/>
        <v>350</v>
      </c>
    </row>
    <row r="57" spans="2:6" x14ac:dyDescent="0.25">
      <c r="B57" s="276" t="s">
        <v>43</v>
      </c>
      <c r="C57" s="277">
        <f>D34</f>
        <v>130</v>
      </c>
      <c r="D57" s="278">
        <v>10</v>
      </c>
      <c r="E57" s="279">
        <v>0.1</v>
      </c>
      <c r="F57" s="277">
        <f t="shared" si="2"/>
        <v>13</v>
      </c>
    </row>
    <row r="58" spans="2:6" x14ac:dyDescent="0.25">
      <c r="B58" s="276" t="s">
        <v>42</v>
      </c>
      <c r="C58" s="277">
        <f>D35</f>
        <v>30</v>
      </c>
      <c r="D58" s="278">
        <v>10</v>
      </c>
      <c r="E58" s="279">
        <v>0.1</v>
      </c>
      <c r="F58" s="277">
        <f t="shared" si="2"/>
        <v>3</v>
      </c>
    </row>
    <row r="59" spans="2:6" x14ac:dyDescent="0.25">
      <c r="B59" s="276" t="s">
        <v>41</v>
      </c>
      <c r="C59" s="277">
        <f>D38</f>
        <v>800</v>
      </c>
      <c r="D59" s="278">
        <v>3</v>
      </c>
      <c r="E59" s="280">
        <v>0.33329999999999999</v>
      </c>
      <c r="F59" s="277">
        <f t="shared" si="2"/>
        <v>266.64</v>
      </c>
    </row>
    <row r="60" spans="2:6" x14ac:dyDescent="0.25">
      <c r="B60" s="276" t="s">
        <v>85</v>
      </c>
      <c r="C60" s="277">
        <f>D39</f>
        <v>300</v>
      </c>
      <c r="D60" s="278">
        <v>3</v>
      </c>
      <c r="E60" s="280">
        <v>0.33329999999999999</v>
      </c>
      <c r="F60" s="277">
        <f t="shared" si="2"/>
        <v>99.99</v>
      </c>
    </row>
    <row r="61" spans="2:6" x14ac:dyDescent="0.25">
      <c r="B61" s="276" t="s">
        <v>22</v>
      </c>
      <c r="C61" s="277">
        <f>D42</f>
        <v>20</v>
      </c>
      <c r="D61" s="278">
        <v>10</v>
      </c>
      <c r="E61" s="279">
        <v>0.1</v>
      </c>
      <c r="F61" s="277">
        <f t="shared" si="2"/>
        <v>2</v>
      </c>
    </row>
    <row r="62" spans="2:6" x14ac:dyDescent="0.25">
      <c r="B62" s="276" t="s">
        <v>59</v>
      </c>
      <c r="C62" s="277">
        <f>D45</f>
        <v>20000</v>
      </c>
      <c r="D62" s="278">
        <v>5</v>
      </c>
      <c r="E62" s="279">
        <v>0.2</v>
      </c>
      <c r="F62" s="277">
        <f t="shared" si="2"/>
        <v>4000</v>
      </c>
    </row>
    <row r="63" spans="2:6" x14ac:dyDescent="0.25">
      <c r="B63" s="350" t="s">
        <v>86</v>
      </c>
      <c r="C63" s="351"/>
      <c r="D63" s="352"/>
      <c r="E63" s="277">
        <f>SUM(F51:F62)</f>
        <v>6269.1299999999992</v>
      </c>
    </row>
    <row r="64" spans="2:6" x14ac:dyDescent="0.25">
      <c r="B64" s="273"/>
      <c r="C64" s="273"/>
      <c r="D64" s="273"/>
      <c r="E64" s="274"/>
    </row>
    <row r="65" spans="2:9" x14ac:dyDescent="0.25">
      <c r="B65" s="281"/>
      <c r="C65" s="281"/>
      <c r="D65" s="282"/>
      <c r="E65" s="283"/>
      <c r="I65" s="284"/>
    </row>
    <row r="66" spans="2:9" x14ac:dyDescent="0.25">
      <c r="B66" s="333" t="s">
        <v>69</v>
      </c>
      <c r="C66" s="335"/>
      <c r="D66" s="282"/>
      <c r="E66" s="283"/>
      <c r="I66" s="284"/>
    </row>
    <row r="67" spans="2:9" x14ac:dyDescent="0.25">
      <c r="B67" s="258" t="s">
        <v>70</v>
      </c>
      <c r="C67" s="285">
        <v>600</v>
      </c>
      <c r="D67" s="282"/>
      <c r="E67" s="283"/>
      <c r="I67" s="284"/>
    </row>
    <row r="68" spans="2:9" x14ac:dyDescent="0.25">
      <c r="B68" s="281"/>
      <c r="C68" s="286"/>
      <c r="D68" s="282"/>
      <c r="E68" s="283"/>
      <c r="I68" s="284"/>
    </row>
    <row r="69" spans="2:9" x14ac:dyDescent="0.25">
      <c r="B69" s="333" t="s">
        <v>152</v>
      </c>
      <c r="C69" s="335"/>
      <c r="D69" s="282"/>
      <c r="E69" s="283"/>
      <c r="I69" s="284"/>
    </row>
    <row r="70" spans="2:9" x14ac:dyDescent="0.25">
      <c r="B70" s="258" t="s">
        <v>70</v>
      </c>
      <c r="C70" s="287">
        <v>5</v>
      </c>
      <c r="D70" s="63" t="s">
        <v>157</v>
      </c>
      <c r="E70" s="283"/>
      <c r="I70" s="284"/>
    </row>
    <row r="71" spans="2:9" x14ac:dyDescent="0.25">
      <c r="E71" s="282"/>
    </row>
    <row r="72" spans="2:9" x14ac:dyDescent="0.25">
      <c r="B72" s="66" t="s">
        <v>87</v>
      </c>
      <c r="C72" s="288">
        <v>0.72</v>
      </c>
      <c r="E72" s="282"/>
    </row>
    <row r="73" spans="2:9" x14ac:dyDescent="0.25">
      <c r="E73" s="282"/>
    </row>
    <row r="74" spans="2:9" x14ac:dyDescent="0.25">
      <c r="D74" s="282"/>
      <c r="E74" s="282"/>
    </row>
    <row r="75" spans="2:9" x14ac:dyDescent="0.25">
      <c r="B75" s="342" t="s">
        <v>71</v>
      </c>
      <c r="C75" s="343"/>
      <c r="D75" s="289"/>
      <c r="E75" s="290"/>
      <c r="G75" s="291"/>
    </row>
    <row r="76" spans="2:9" x14ac:dyDescent="0.25">
      <c r="B76" s="292"/>
      <c r="C76" s="293" t="s">
        <v>78</v>
      </c>
      <c r="D76" s="294"/>
      <c r="E76" s="295"/>
      <c r="G76" s="295"/>
    </row>
    <row r="77" spans="2:9" x14ac:dyDescent="0.25">
      <c r="B77" s="296" t="s">
        <v>74</v>
      </c>
      <c r="C77" s="297">
        <f>SUM(C72/1000)</f>
        <v>7.1999999999999994E-4</v>
      </c>
      <c r="D77" s="298"/>
      <c r="E77" s="282"/>
    </row>
    <row r="78" spans="2:9" x14ac:dyDescent="0.25">
      <c r="B78" s="296" t="s">
        <v>75</v>
      </c>
      <c r="C78" s="299">
        <v>0.11</v>
      </c>
      <c r="D78" s="298"/>
      <c r="E78" s="282"/>
      <c r="H78" s="300"/>
    </row>
    <row r="79" spans="2:9" x14ac:dyDescent="0.25">
      <c r="B79" s="296" t="s">
        <v>76</v>
      </c>
      <c r="C79" s="299">
        <v>0.09</v>
      </c>
      <c r="D79" s="298"/>
      <c r="E79" s="282"/>
      <c r="H79" s="301"/>
    </row>
    <row r="80" spans="2:9" x14ac:dyDescent="0.25">
      <c r="B80" s="296" t="s">
        <v>81</v>
      </c>
      <c r="C80" s="299">
        <v>0.03</v>
      </c>
      <c r="D80" s="298"/>
      <c r="E80" s="282"/>
    </row>
    <row r="81" spans="2:5" x14ac:dyDescent="0.25">
      <c r="B81" s="296" t="s">
        <v>77</v>
      </c>
      <c r="C81" s="299">
        <v>0.05</v>
      </c>
      <c r="D81" s="298"/>
      <c r="E81" s="282"/>
    </row>
    <row r="82" spans="2:5" x14ac:dyDescent="0.25">
      <c r="B82" s="296" t="s">
        <v>150</v>
      </c>
      <c r="C82" s="299">
        <v>0.06</v>
      </c>
      <c r="D82" s="298"/>
      <c r="E82" s="282"/>
    </row>
    <row r="83" spans="2:5" ht="23.25" x14ac:dyDescent="0.25">
      <c r="B83" s="296"/>
      <c r="C83" s="302"/>
      <c r="D83" s="303" t="s">
        <v>158</v>
      </c>
      <c r="E83" s="258" t="s">
        <v>159</v>
      </c>
    </row>
    <row r="84" spans="2:5" ht="15.75" x14ac:dyDescent="0.25">
      <c r="B84" s="304" t="s">
        <v>39</v>
      </c>
      <c r="C84" s="305">
        <f>SUM(C77:C83)</f>
        <v>0.34072000000000002</v>
      </c>
      <c r="D84" s="306">
        <v>10000</v>
      </c>
      <c r="E84" s="307">
        <f>D84*C84</f>
        <v>3407.2000000000003</v>
      </c>
    </row>
    <row r="86" spans="2:5" x14ac:dyDescent="0.25">
      <c r="B86" s="336" t="s">
        <v>38</v>
      </c>
      <c r="C86" s="337"/>
      <c r="D86" s="337"/>
      <c r="E86" s="338"/>
    </row>
    <row r="87" spans="2:5" x14ac:dyDescent="0.25">
      <c r="B87" s="258" t="s">
        <v>37</v>
      </c>
      <c r="C87" s="258" t="s">
        <v>36</v>
      </c>
      <c r="D87" s="258" t="s">
        <v>35</v>
      </c>
      <c r="E87" s="258" t="s">
        <v>11</v>
      </c>
    </row>
    <row r="88" spans="2:5" x14ac:dyDescent="0.25">
      <c r="B88" s="258">
        <v>1</v>
      </c>
      <c r="C88" s="258" t="s">
        <v>34</v>
      </c>
      <c r="D88" s="308">
        <v>700</v>
      </c>
      <c r="E88" s="64">
        <f t="shared" ref="E88:E93" si="3">SUM(B88*D88)</f>
        <v>700</v>
      </c>
    </row>
    <row r="89" spans="2:5" x14ac:dyDescent="0.25">
      <c r="B89" s="258">
        <v>1</v>
      </c>
      <c r="C89" s="258" t="s">
        <v>33</v>
      </c>
      <c r="D89" s="308">
        <v>500</v>
      </c>
      <c r="E89" s="64">
        <f t="shared" si="3"/>
        <v>500</v>
      </c>
    </row>
    <row r="90" spans="2:5" x14ac:dyDescent="0.25">
      <c r="B90" s="258">
        <v>1</v>
      </c>
      <c r="C90" s="258" t="s">
        <v>260</v>
      </c>
      <c r="D90" s="308">
        <v>400</v>
      </c>
      <c r="E90" s="64">
        <f t="shared" si="3"/>
        <v>400</v>
      </c>
    </row>
    <row r="91" spans="2:5" x14ac:dyDescent="0.25">
      <c r="B91" s="258">
        <v>1</v>
      </c>
      <c r="C91" s="258" t="s">
        <v>66</v>
      </c>
      <c r="D91" s="308">
        <v>500</v>
      </c>
      <c r="E91" s="64">
        <f t="shared" si="3"/>
        <v>500</v>
      </c>
    </row>
    <row r="92" spans="2:5" x14ac:dyDescent="0.25">
      <c r="B92" s="258">
        <v>1</v>
      </c>
      <c r="C92" s="258" t="s">
        <v>67</v>
      </c>
      <c r="D92" s="308">
        <v>500</v>
      </c>
      <c r="E92" s="64">
        <f t="shared" si="3"/>
        <v>500</v>
      </c>
    </row>
    <row r="93" spans="2:5" x14ac:dyDescent="0.25">
      <c r="B93" s="258">
        <v>3</v>
      </c>
      <c r="C93" s="258" t="s">
        <v>68</v>
      </c>
      <c r="D93" s="308">
        <v>400</v>
      </c>
      <c r="E93" s="64">
        <f t="shared" si="3"/>
        <v>1200</v>
      </c>
    </row>
    <row r="94" spans="2:5" x14ac:dyDescent="0.25">
      <c r="B94" s="258"/>
      <c r="D94" s="308"/>
      <c r="E94" s="64"/>
    </row>
    <row r="95" spans="2:5" x14ac:dyDescent="0.25">
      <c r="B95" s="333" t="s">
        <v>32</v>
      </c>
      <c r="C95" s="334"/>
      <c r="D95" s="335"/>
      <c r="E95" s="309">
        <f>SUM(E88:E94)</f>
        <v>3800</v>
      </c>
    </row>
    <row r="97" spans="2:9" x14ac:dyDescent="0.25">
      <c r="B97" s="333" t="s">
        <v>31</v>
      </c>
      <c r="C97" s="334"/>
      <c r="D97" s="334"/>
      <c r="E97" s="334"/>
      <c r="F97" s="334"/>
      <c r="G97" s="335"/>
    </row>
    <row r="98" spans="2:9" x14ac:dyDescent="0.25">
      <c r="B98" s="333" t="s">
        <v>30</v>
      </c>
      <c r="C98" s="334"/>
      <c r="D98" s="335"/>
      <c r="E98" s="333" t="s">
        <v>29</v>
      </c>
      <c r="F98" s="334"/>
      <c r="G98" s="335"/>
    </row>
    <row r="99" spans="2:9" x14ac:dyDescent="0.25">
      <c r="B99" s="259" t="s">
        <v>28</v>
      </c>
      <c r="C99" s="259" t="s">
        <v>27</v>
      </c>
      <c r="D99" s="259" t="s">
        <v>26</v>
      </c>
      <c r="E99" s="259" t="s">
        <v>28</v>
      </c>
      <c r="F99" s="259" t="s">
        <v>27</v>
      </c>
      <c r="G99" s="259" t="s">
        <v>160</v>
      </c>
    </row>
    <row r="100" spans="2:9" x14ac:dyDescent="0.25">
      <c r="B100" s="63" t="s">
        <v>25</v>
      </c>
      <c r="C100" s="310">
        <v>800</v>
      </c>
      <c r="D100" s="271">
        <f>SUM(C100*12)</f>
        <v>9600</v>
      </c>
      <c r="E100" s="63" t="s">
        <v>24</v>
      </c>
      <c r="F100" s="308">
        <v>40</v>
      </c>
      <c r="G100" s="308">
        <f>SUM(F100*12)</f>
        <v>480</v>
      </c>
    </row>
    <row r="101" spans="2:9" x14ac:dyDescent="0.25">
      <c r="B101" s="63" t="s">
        <v>256</v>
      </c>
      <c r="C101" s="310">
        <f>SUM(E91+E92+E93)</f>
        <v>2200</v>
      </c>
      <c r="D101" s="271">
        <f>SUM(C101*12)</f>
        <v>26400</v>
      </c>
      <c r="E101" s="63" t="s">
        <v>23</v>
      </c>
      <c r="F101" s="308">
        <v>150</v>
      </c>
      <c r="G101" s="308">
        <f>SUM(F101*12)</f>
        <v>1800</v>
      </c>
    </row>
    <row r="102" spans="2:9" x14ac:dyDescent="0.25">
      <c r="B102" s="63" t="s">
        <v>72</v>
      </c>
      <c r="C102" s="310">
        <v>200</v>
      </c>
      <c r="D102" s="271">
        <f>SUM(C102*12)</f>
        <v>2400</v>
      </c>
      <c r="E102" s="63" t="s">
        <v>22</v>
      </c>
      <c r="F102" s="308">
        <v>20</v>
      </c>
      <c r="G102" s="308">
        <f>SUM(F102*12)</f>
        <v>240</v>
      </c>
      <c r="I102" s="311"/>
    </row>
    <row r="103" spans="2:9" x14ac:dyDescent="0.25">
      <c r="B103" s="63" t="s">
        <v>65</v>
      </c>
      <c r="C103" s="310">
        <v>25</v>
      </c>
      <c r="D103" s="271">
        <f>SUM(C103*12)</f>
        <v>300</v>
      </c>
      <c r="E103" s="63" t="s">
        <v>110</v>
      </c>
      <c r="F103" s="308">
        <f>+E84</f>
        <v>3407.2000000000003</v>
      </c>
      <c r="G103" s="308">
        <f>SUM(F103*12)</f>
        <v>40886.400000000001</v>
      </c>
    </row>
    <row r="104" spans="2:9" x14ac:dyDescent="0.25">
      <c r="B104" s="312" t="s">
        <v>203</v>
      </c>
      <c r="C104" s="310">
        <v>150</v>
      </c>
      <c r="D104" s="271">
        <f>SUM(C104*12)</f>
        <v>1800</v>
      </c>
      <c r="E104" s="312"/>
      <c r="F104" s="308"/>
      <c r="G104" s="308"/>
    </row>
    <row r="105" spans="2:9" x14ac:dyDescent="0.25">
      <c r="B105" s="313" t="s">
        <v>21</v>
      </c>
      <c r="C105" s="310">
        <f>SUM(C100:C104)</f>
        <v>3375</v>
      </c>
      <c r="D105" s="314">
        <f>SUM(D100:D104)</f>
        <v>40500</v>
      </c>
      <c r="E105" s="313" t="s">
        <v>162</v>
      </c>
      <c r="F105" s="315">
        <f>SUM(F100:F103)</f>
        <v>3617.2000000000003</v>
      </c>
      <c r="G105" s="314">
        <f>SUM(G100:G103)</f>
        <v>43406.400000000001</v>
      </c>
    </row>
    <row r="106" spans="2:9" x14ac:dyDescent="0.25">
      <c r="B106" s="330" t="s">
        <v>73</v>
      </c>
      <c r="C106" s="330"/>
      <c r="D106" s="330"/>
      <c r="E106" s="331">
        <f>SUM(D105+G105)</f>
        <v>83906.4</v>
      </c>
      <c r="F106" s="332"/>
      <c r="G106" s="332"/>
    </row>
    <row r="109" spans="2:9" ht="45" x14ac:dyDescent="0.25">
      <c r="B109" s="258" t="s">
        <v>328</v>
      </c>
      <c r="C109" s="316" t="s">
        <v>314</v>
      </c>
      <c r="D109" s="316" t="s">
        <v>315</v>
      </c>
      <c r="E109" s="316" t="s">
        <v>316</v>
      </c>
      <c r="F109" s="317" t="s">
        <v>317</v>
      </c>
    </row>
    <row r="110" spans="2:9" x14ac:dyDescent="0.25">
      <c r="B110" s="258">
        <v>1</v>
      </c>
      <c r="C110" s="63" t="s">
        <v>318</v>
      </c>
      <c r="D110" s="63" t="s">
        <v>319</v>
      </c>
      <c r="E110" s="63">
        <v>1.3</v>
      </c>
      <c r="F110" s="63">
        <f>E110</f>
        <v>1.3</v>
      </c>
    </row>
    <row r="111" spans="2:9" x14ac:dyDescent="0.25">
      <c r="B111" s="258">
        <v>2</v>
      </c>
      <c r="C111" s="63" t="s">
        <v>320</v>
      </c>
      <c r="D111" s="63" t="s">
        <v>319</v>
      </c>
      <c r="E111" s="63">
        <v>1.1499999999999999</v>
      </c>
      <c r="F111" s="63">
        <f>E111</f>
        <v>1.1499999999999999</v>
      </c>
    </row>
    <row r="112" spans="2:9" x14ac:dyDescent="0.25">
      <c r="B112" s="258">
        <v>3</v>
      </c>
      <c r="C112" s="63" t="s">
        <v>321</v>
      </c>
      <c r="D112" s="63" t="s">
        <v>322</v>
      </c>
      <c r="E112" s="63">
        <v>0.5</v>
      </c>
      <c r="F112" s="63">
        <v>1</v>
      </c>
    </row>
    <row r="113" spans="2:7" x14ac:dyDescent="0.25">
      <c r="B113" s="258">
        <v>4</v>
      </c>
      <c r="C113" s="63" t="s">
        <v>323</v>
      </c>
      <c r="D113" s="63" t="s">
        <v>324</v>
      </c>
      <c r="E113" s="63">
        <v>0.6</v>
      </c>
      <c r="F113" s="63">
        <v>1.2</v>
      </c>
    </row>
    <row r="114" spans="2:7" x14ac:dyDescent="0.25">
      <c r="B114" s="258">
        <v>5</v>
      </c>
      <c r="C114" s="63" t="s">
        <v>325</v>
      </c>
      <c r="D114" s="63" t="s">
        <v>326</v>
      </c>
      <c r="E114" s="63">
        <v>1.6</v>
      </c>
      <c r="F114" s="63">
        <v>1.6</v>
      </c>
    </row>
    <row r="115" spans="2:7" x14ac:dyDescent="0.25">
      <c r="B115" s="258">
        <v>6</v>
      </c>
      <c r="C115" s="63" t="s">
        <v>327</v>
      </c>
      <c r="D115" s="63" t="s">
        <v>324</v>
      </c>
      <c r="E115" s="63">
        <v>0.65</v>
      </c>
      <c r="F115" s="63">
        <v>1.25</v>
      </c>
    </row>
    <row r="116" spans="2:7" x14ac:dyDescent="0.25">
      <c r="C116" s="316" t="s">
        <v>161</v>
      </c>
      <c r="D116" s="316"/>
      <c r="E116" s="316"/>
      <c r="F116" s="318">
        <f>AVERAGE(F110:F115)</f>
        <v>1.25</v>
      </c>
      <c r="G116" s="319" t="s">
        <v>357</v>
      </c>
    </row>
    <row r="120" spans="2:7" x14ac:dyDescent="0.25">
      <c r="B120" s="316" t="s">
        <v>329</v>
      </c>
      <c r="C120" s="63">
        <f>D84</f>
        <v>10000</v>
      </c>
    </row>
    <row r="121" spans="2:7" x14ac:dyDescent="0.25">
      <c r="B121" s="316" t="s">
        <v>330</v>
      </c>
      <c r="C121" s="63">
        <f>C120*12</f>
        <v>120000</v>
      </c>
    </row>
  </sheetData>
  <mergeCells count="36">
    <mergeCell ref="B63:D63"/>
    <mergeCell ref="B18:F18"/>
    <mergeCell ref="B69:C69"/>
    <mergeCell ref="B19:F19"/>
    <mergeCell ref="B20:F20"/>
    <mergeCell ref="B25:E25"/>
    <mergeCell ref="B33:E33"/>
    <mergeCell ref="B37:E37"/>
    <mergeCell ref="B41:E41"/>
    <mergeCell ref="B44:E44"/>
    <mergeCell ref="B47:E47"/>
    <mergeCell ref="B21:F21"/>
    <mergeCell ref="B6:F6"/>
    <mergeCell ref="B13:F13"/>
    <mergeCell ref="B14:F14"/>
    <mergeCell ref="B5:F5"/>
    <mergeCell ref="B7:F7"/>
    <mergeCell ref="B9:F9"/>
    <mergeCell ref="B10:F10"/>
    <mergeCell ref="B11:F11"/>
    <mergeCell ref="B2:G2"/>
    <mergeCell ref="B15:F15"/>
    <mergeCell ref="B106:D106"/>
    <mergeCell ref="E106:G106"/>
    <mergeCell ref="B97:G97"/>
    <mergeCell ref="B98:D98"/>
    <mergeCell ref="E98:G98"/>
    <mergeCell ref="B86:E86"/>
    <mergeCell ref="B23:E23"/>
    <mergeCell ref="B95:D95"/>
    <mergeCell ref="B66:C66"/>
    <mergeCell ref="B16:F16"/>
    <mergeCell ref="B75:C75"/>
    <mergeCell ref="B49:F49"/>
    <mergeCell ref="B17:F17"/>
    <mergeCell ref="B4:G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4:E9"/>
  <sheetViews>
    <sheetView workbookViewId="0">
      <selection activeCell="L17" sqref="L17"/>
    </sheetView>
  </sheetViews>
  <sheetFormatPr baseColWidth="10" defaultRowHeight="15" x14ac:dyDescent="0.25"/>
  <cols>
    <col min="2" max="2" width="23.85546875" bestFit="1" customWidth="1"/>
    <col min="3" max="3" width="9.42578125" bestFit="1" customWidth="1"/>
    <col min="4" max="4" width="18.5703125" bestFit="1" customWidth="1"/>
    <col min="5" max="5" width="22.140625" bestFit="1" customWidth="1"/>
  </cols>
  <sheetData>
    <row r="4" spans="2:5" ht="21" x14ac:dyDescent="0.5">
      <c r="B4" s="364" t="s">
        <v>109</v>
      </c>
      <c r="C4" s="364"/>
      <c r="D4" s="364"/>
      <c r="E4" s="364"/>
    </row>
    <row r="5" spans="2:5" ht="21" x14ac:dyDescent="0.5">
      <c r="B5" s="364" t="s">
        <v>153</v>
      </c>
      <c r="C5" s="364"/>
      <c r="D5" s="364"/>
      <c r="E5" s="364"/>
    </row>
    <row r="7" spans="2:5" x14ac:dyDescent="0.25">
      <c r="B7" s="16" t="s">
        <v>154</v>
      </c>
      <c r="C7" s="17" t="s">
        <v>13</v>
      </c>
      <c r="D7" s="18" t="s">
        <v>155</v>
      </c>
      <c r="E7" s="18" t="s">
        <v>156</v>
      </c>
    </row>
    <row r="8" spans="2:5" x14ac:dyDescent="0.25">
      <c r="B8" s="2" t="s">
        <v>8</v>
      </c>
      <c r="C8" s="21">
        <f>+'DATOS Y SUPUESTOS '!C67</f>
        <v>600</v>
      </c>
      <c r="D8" s="22">
        <f>+'DATOS Y SUPUESTOS '!C70</f>
        <v>5</v>
      </c>
      <c r="E8" s="13">
        <f>C8/D8</f>
        <v>120</v>
      </c>
    </row>
    <row r="9" spans="2:5" x14ac:dyDescent="0.25">
      <c r="B9" s="5"/>
      <c r="C9" s="19"/>
      <c r="D9" s="20"/>
      <c r="E9" s="19"/>
    </row>
  </sheetData>
  <mergeCells count="2">
    <mergeCell ref="B4:E4"/>
    <mergeCell ref="B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N34"/>
  <sheetViews>
    <sheetView workbookViewId="0"/>
  </sheetViews>
  <sheetFormatPr baseColWidth="10" defaultRowHeight="15" x14ac:dyDescent="0.25"/>
  <cols>
    <col min="1" max="1" width="2.85546875" customWidth="1"/>
    <col min="2" max="2" width="5" customWidth="1"/>
    <col min="3" max="3" width="10.140625" customWidth="1"/>
    <col min="4" max="4" width="15.140625" customWidth="1"/>
    <col min="5" max="5" width="10.7109375" customWidth="1"/>
    <col min="6" max="6" width="12.28515625" customWidth="1"/>
    <col min="7" max="7" width="10.42578125" customWidth="1"/>
    <col min="8" max="8" width="12.85546875" customWidth="1"/>
    <col min="9" max="9" width="15.85546875" bestFit="1" customWidth="1"/>
    <col min="10" max="10" width="12.85546875" customWidth="1"/>
    <col min="11" max="11" width="15.7109375" customWidth="1"/>
    <col min="12" max="12" width="11" customWidth="1"/>
    <col min="13" max="14" width="10.7109375" customWidth="1"/>
  </cols>
  <sheetData>
    <row r="3" spans="2:14" ht="25.5" x14ac:dyDescent="0.6">
      <c r="C3" s="366" t="s">
        <v>109</v>
      </c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55"/>
    </row>
    <row r="4" spans="2:14" ht="18" x14ac:dyDescent="0.25">
      <c r="C4" s="367" t="s">
        <v>88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56"/>
    </row>
    <row r="7" spans="2:14" x14ac:dyDescent="0.25">
      <c r="B7" s="330" t="s">
        <v>89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</row>
    <row r="8" spans="2:14" ht="30" x14ac:dyDescent="0.25">
      <c r="B8" s="62" t="s">
        <v>90</v>
      </c>
      <c r="C8" s="62" t="s">
        <v>91</v>
      </c>
      <c r="D8" s="62" t="s">
        <v>92</v>
      </c>
      <c r="E8" s="62" t="s">
        <v>93</v>
      </c>
      <c r="F8" s="62" t="s">
        <v>94</v>
      </c>
      <c r="G8" s="62" t="s">
        <v>95</v>
      </c>
      <c r="H8" s="62" t="s">
        <v>96</v>
      </c>
      <c r="I8" s="62" t="s">
        <v>97</v>
      </c>
      <c r="J8" s="62" t="s">
        <v>98</v>
      </c>
      <c r="K8" s="62" t="s">
        <v>99</v>
      </c>
      <c r="L8" s="62" t="s">
        <v>100</v>
      </c>
      <c r="M8" s="62" t="s">
        <v>101</v>
      </c>
    </row>
    <row r="9" spans="2:14" x14ac:dyDescent="0.25">
      <c r="B9" s="67">
        <v>1</v>
      </c>
      <c r="C9" s="67">
        <f>+'DATOS Y SUPUESTOS '!B88</f>
        <v>1</v>
      </c>
      <c r="D9" s="67" t="str">
        <f>+'DATOS Y SUPUESTOS '!C88</f>
        <v>Gerente</v>
      </c>
      <c r="E9" s="68">
        <f>+'DATOS Y SUPUESTOS '!D88</f>
        <v>700</v>
      </c>
      <c r="F9" s="67"/>
      <c r="G9" s="67"/>
      <c r="H9" s="69">
        <f>E9*'DATOS Y SUPUESTOS '!$G$17</f>
        <v>58.31</v>
      </c>
      <c r="I9" s="69">
        <f t="shared" ref="I9:I14" si="0">SUM(E9+F9+G9+H9)</f>
        <v>758.31</v>
      </c>
      <c r="J9" s="69">
        <f>(E9+F9+G9)*'DATOS Y SUPUESTOS '!$G$15</f>
        <v>66.150000000000006</v>
      </c>
      <c r="K9" s="67"/>
      <c r="L9" s="69">
        <f t="shared" ref="L9:L14" si="1">J9+K9</f>
        <v>66.150000000000006</v>
      </c>
      <c r="M9" s="69">
        <f t="shared" ref="M9:M14" si="2">I9-L9</f>
        <v>692.16</v>
      </c>
    </row>
    <row r="10" spans="2:14" x14ac:dyDescent="0.25">
      <c r="B10" s="67">
        <v>2</v>
      </c>
      <c r="C10" s="67">
        <f>+'DATOS Y SUPUESTOS '!B89</f>
        <v>1</v>
      </c>
      <c r="D10" s="67" t="str">
        <f>+'DATOS Y SUPUESTOS '!C89</f>
        <v>Contador</v>
      </c>
      <c r="E10" s="68">
        <f>+'DATOS Y SUPUESTOS '!D89</f>
        <v>500</v>
      </c>
      <c r="F10" s="67"/>
      <c r="G10" s="67"/>
      <c r="H10" s="69">
        <f>E10*'DATOS Y SUPUESTOS '!$G$17</f>
        <v>41.65</v>
      </c>
      <c r="I10" s="69">
        <f t="shared" si="0"/>
        <v>541.65</v>
      </c>
      <c r="J10" s="69">
        <f>(E10+F10+G10)*'DATOS Y SUPUESTOS '!$G$15</f>
        <v>47.25</v>
      </c>
      <c r="K10" s="67"/>
      <c r="L10" s="69">
        <f t="shared" si="1"/>
        <v>47.25</v>
      </c>
      <c r="M10" s="69">
        <f t="shared" si="2"/>
        <v>494.4</v>
      </c>
    </row>
    <row r="11" spans="2:14" x14ac:dyDescent="0.25">
      <c r="B11" s="67">
        <v>3</v>
      </c>
      <c r="C11" s="67">
        <v>1</v>
      </c>
      <c r="D11" s="67" t="s">
        <v>260</v>
      </c>
      <c r="E11" s="68">
        <f>'DATOS Y SUPUESTOS '!E90</f>
        <v>400</v>
      </c>
      <c r="F11" s="67"/>
      <c r="G11" s="67"/>
      <c r="H11" s="69">
        <f>E11*'DATOS Y SUPUESTOS '!$G$17</f>
        <v>33.32</v>
      </c>
      <c r="I11" s="69">
        <f t="shared" si="0"/>
        <v>433.32</v>
      </c>
      <c r="J11" s="69">
        <f>(E11+F11+G11)*'DATOS Y SUPUESTOS '!$G$15</f>
        <v>37.799999999999997</v>
      </c>
      <c r="K11" s="67"/>
      <c r="L11" s="69">
        <f t="shared" si="1"/>
        <v>37.799999999999997</v>
      </c>
      <c r="M11" s="69">
        <f t="shared" si="2"/>
        <v>395.52</v>
      </c>
    </row>
    <row r="12" spans="2:14" x14ac:dyDescent="0.25">
      <c r="B12" s="70">
        <v>4</v>
      </c>
      <c r="C12" s="70">
        <f>+'DATOS Y SUPUESTOS '!B91</f>
        <v>1</v>
      </c>
      <c r="D12" s="70" t="str">
        <f>+'DATOS Y SUPUESTOS '!C91</f>
        <v>Jefe de Producción</v>
      </c>
      <c r="E12" s="71">
        <f>+'DATOS Y SUPUESTOS '!D91</f>
        <v>500</v>
      </c>
      <c r="F12" s="70"/>
      <c r="G12" s="70"/>
      <c r="H12" s="72">
        <f>E12*'DATOS Y SUPUESTOS '!$G$17</f>
        <v>41.65</v>
      </c>
      <c r="I12" s="72">
        <f t="shared" si="0"/>
        <v>541.65</v>
      </c>
      <c r="J12" s="72">
        <f>(E12+F12+G12)*'DATOS Y SUPUESTOS '!$G$15</f>
        <v>47.25</v>
      </c>
      <c r="K12" s="70"/>
      <c r="L12" s="72">
        <f t="shared" si="1"/>
        <v>47.25</v>
      </c>
      <c r="M12" s="72">
        <f t="shared" si="2"/>
        <v>494.4</v>
      </c>
    </row>
    <row r="13" spans="2:14" x14ac:dyDescent="0.25">
      <c r="B13" s="70">
        <v>5</v>
      </c>
      <c r="C13" s="70">
        <f>+'DATOS Y SUPUESTOS '!B92</f>
        <v>1</v>
      </c>
      <c r="D13" s="70" t="str">
        <f>+'DATOS Y SUPUESTOS '!C92</f>
        <v>Jefe de bodega</v>
      </c>
      <c r="E13" s="71">
        <f>+'DATOS Y SUPUESTOS '!D92</f>
        <v>500</v>
      </c>
      <c r="F13" s="70"/>
      <c r="G13" s="70"/>
      <c r="H13" s="72">
        <f>E13*'DATOS Y SUPUESTOS '!$G$17</f>
        <v>41.65</v>
      </c>
      <c r="I13" s="72">
        <f t="shared" si="0"/>
        <v>541.65</v>
      </c>
      <c r="J13" s="72">
        <f>(E13+F13+G13)*'DATOS Y SUPUESTOS '!$G$15</f>
        <v>47.25</v>
      </c>
      <c r="K13" s="70"/>
      <c r="L13" s="72">
        <f t="shared" si="1"/>
        <v>47.25</v>
      </c>
      <c r="M13" s="72">
        <f t="shared" si="2"/>
        <v>494.4</v>
      </c>
    </row>
    <row r="14" spans="2:14" x14ac:dyDescent="0.25">
      <c r="B14" s="70">
        <v>6</v>
      </c>
      <c r="C14" s="70">
        <f>+'DATOS Y SUPUESTOS '!B93</f>
        <v>3</v>
      </c>
      <c r="D14" s="70" t="str">
        <f>+'DATOS Y SUPUESTOS '!C93</f>
        <v>Operadores</v>
      </c>
      <c r="E14" s="71">
        <f>+'DATOS Y SUPUESTOS '!E93</f>
        <v>1200</v>
      </c>
      <c r="F14" s="70"/>
      <c r="G14" s="70"/>
      <c r="H14" s="72">
        <f>E14*'DATOS Y SUPUESTOS '!$G$17</f>
        <v>99.96</v>
      </c>
      <c r="I14" s="72">
        <f t="shared" si="0"/>
        <v>1299.96</v>
      </c>
      <c r="J14" s="72">
        <f>(E14+F14+G14)*'DATOS Y SUPUESTOS '!$G$15</f>
        <v>113.4</v>
      </c>
      <c r="K14" s="70"/>
      <c r="L14" s="72">
        <f t="shared" si="1"/>
        <v>113.4</v>
      </c>
      <c r="M14" s="72">
        <f t="shared" si="2"/>
        <v>1186.56</v>
      </c>
    </row>
    <row r="15" spans="2:14" x14ac:dyDescent="0.25">
      <c r="B15" s="365" t="s">
        <v>11</v>
      </c>
      <c r="C15" s="365"/>
      <c r="D15" s="365"/>
      <c r="E15" s="64">
        <f t="shared" ref="E15:M15" si="3">SUM(E9:E14)</f>
        <v>3800</v>
      </c>
      <c r="F15" s="63">
        <f t="shared" si="3"/>
        <v>0</v>
      </c>
      <c r="G15" s="63">
        <f t="shared" si="3"/>
        <v>0</v>
      </c>
      <c r="H15" s="65">
        <f t="shared" si="3"/>
        <v>316.54000000000002</v>
      </c>
      <c r="I15" s="65">
        <f t="shared" si="3"/>
        <v>4116.54</v>
      </c>
      <c r="J15" s="65">
        <f t="shared" si="3"/>
        <v>359.1</v>
      </c>
      <c r="K15" s="63">
        <f t="shared" si="3"/>
        <v>0</v>
      </c>
      <c r="L15" s="65">
        <f t="shared" si="3"/>
        <v>359.1</v>
      </c>
      <c r="M15" s="65">
        <f t="shared" si="3"/>
        <v>3757.44</v>
      </c>
    </row>
    <row r="16" spans="2:14" x14ac:dyDescent="0.25">
      <c r="B16" s="365" t="s">
        <v>102</v>
      </c>
      <c r="C16" s="365"/>
      <c r="D16" s="365"/>
      <c r="E16" s="65">
        <f>E15*12</f>
        <v>45600</v>
      </c>
      <c r="F16" s="65">
        <f t="shared" ref="F16:M16" si="4">F15*12</f>
        <v>0</v>
      </c>
      <c r="G16" s="65">
        <f t="shared" si="4"/>
        <v>0</v>
      </c>
      <c r="H16" s="65">
        <f t="shared" si="4"/>
        <v>3798.4800000000005</v>
      </c>
      <c r="I16" s="65">
        <f t="shared" si="4"/>
        <v>49398.479999999996</v>
      </c>
      <c r="J16" s="65">
        <f t="shared" si="4"/>
        <v>4309.2000000000007</v>
      </c>
      <c r="K16" s="65">
        <f t="shared" si="4"/>
        <v>0</v>
      </c>
      <c r="L16" s="65">
        <f t="shared" si="4"/>
        <v>4309.2000000000007</v>
      </c>
      <c r="M16" s="65">
        <f t="shared" si="4"/>
        <v>45089.279999999999</v>
      </c>
    </row>
    <row r="17" spans="2:13" x14ac:dyDescent="0.25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2:13" x14ac:dyDescent="0.25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2:13" x14ac:dyDescent="0.25">
      <c r="B19" s="330" t="s">
        <v>103</v>
      </c>
      <c r="C19" s="330"/>
      <c r="D19" s="330"/>
      <c r="E19" s="330"/>
      <c r="F19" s="330"/>
      <c r="G19" s="330"/>
      <c r="H19" s="330"/>
      <c r="I19" s="330"/>
      <c r="J19" s="330"/>
    </row>
    <row r="20" spans="2:13" ht="45" x14ac:dyDescent="0.25">
      <c r="B20" s="62" t="s">
        <v>90</v>
      </c>
      <c r="C20" s="62" t="s">
        <v>91</v>
      </c>
      <c r="D20" s="62" t="s">
        <v>92</v>
      </c>
      <c r="E20" s="62" t="s">
        <v>97</v>
      </c>
      <c r="F20" s="62" t="s">
        <v>104</v>
      </c>
      <c r="G20" s="62" t="s">
        <v>105</v>
      </c>
      <c r="H20" s="62" t="s">
        <v>106</v>
      </c>
      <c r="I20" s="62" t="s">
        <v>107</v>
      </c>
      <c r="J20" s="62" t="s">
        <v>108</v>
      </c>
    </row>
    <row r="21" spans="2:13" x14ac:dyDescent="0.25">
      <c r="B21" s="67">
        <v>1</v>
      </c>
      <c r="C21" s="67">
        <f>+C9</f>
        <v>1</v>
      </c>
      <c r="D21" s="67" t="str">
        <f>+D9</f>
        <v>Gerente</v>
      </c>
      <c r="E21" s="69">
        <f>I9-H9</f>
        <v>700</v>
      </c>
      <c r="F21" s="69">
        <f>E21*'DATOS Y SUPUESTOS '!$G$16</f>
        <v>78.05</v>
      </c>
      <c r="G21" s="69">
        <f t="shared" ref="G21:G26" si="5">E21/12</f>
        <v>58.333333333333336</v>
      </c>
      <c r="H21" s="69">
        <f>SUM('DATOS Y SUPUESTOS '!$G$12)/12</f>
        <v>30.5</v>
      </c>
      <c r="I21" s="69">
        <f t="shared" ref="I21:I26" si="6">E21/24</f>
        <v>29.166666666666668</v>
      </c>
      <c r="J21" s="73">
        <f t="shared" ref="J21:J26" si="7">F21+G21+H21+I21</f>
        <v>196.04999999999998</v>
      </c>
    </row>
    <row r="22" spans="2:13" x14ac:dyDescent="0.25">
      <c r="B22" s="67">
        <v>2</v>
      </c>
      <c r="C22" s="67">
        <f>+C10</f>
        <v>1</v>
      </c>
      <c r="D22" s="67" t="str">
        <f>+D10</f>
        <v>Contador</v>
      </c>
      <c r="E22" s="69">
        <f>I10-H10</f>
        <v>500</v>
      </c>
      <c r="F22" s="69">
        <f>E22*'DATOS Y SUPUESTOS '!$G$16</f>
        <v>55.75</v>
      </c>
      <c r="G22" s="69">
        <f t="shared" si="5"/>
        <v>41.666666666666664</v>
      </c>
      <c r="H22" s="69">
        <f>SUM('DATOS Y SUPUESTOS '!$G$12)/12</f>
        <v>30.5</v>
      </c>
      <c r="I22" s="69">
        <f t="shared" si="6"/>
        <v>20.833333333333332</v>
      </c>
      <c r="J22" s="73">
        <f t="shared" si="7"/>
        <v>148.75</v>
      </c>
    </row>
    <row r="23" spans="2:13" x14ac:dyDescent="0.25">
      <c r="B23" s="67">
        <v>3</v>
      </c>
      <c r="C23" s="67">
        <v>1</v>
      </c>
      <c r="D23" s="67" t="s">
        <v>261</v>
      </c>
      <c r="E23" s="69">
        <f>E11</f>
        <v>400</v>
      </c>
      <c r="F23" s="69">
        <f>E23*'DATOS Y SUPUESTOS '!$G$16</f>
        <v>44.6</v>
      </c>
      <c r="G23" s="69">
        <f t="shared" si="5"/>
        <v>33.333333333333336</v>
      </c>
      <c r="H23" s="69">
        <f>SUM('DATOS Y SUPUESTOS '!$G$12)/12</f>
        <v>30.5</v>
      </c>
      <c r="I23" s="69">
        <f t="shared" si="6"/>
        <v>16.666666666666668</v>
      </c>
      <c r="J23" s="73">
        <f t="shared" si="7"/>
        <v>125.10000000000001</v>
      </c>
    </row>
    <row r="24" spans="2:13" x14ac:dyDescent="0.25">
      <c r="B24" s="70">
        <v>4</v>
      </c>
      <c r="C24" s="74">
        <f t="shared" ref="C24:D26" si="8">+C12</f>
        <v>1</v>
      </c>
      <c r="D24" s="74" t="str">
        <f t="shared" si="8"/>
        <v>Jefe de Producción</v>
      </c>
      <c r="E24" s="75">
        <f>I12-H12</f>
        <v>500</v>
      </c>
      <c r="F24" s="75">
        <f>E24*'DATOS Y SUPUESTOS '!$G$16</f>
        <v>55.75</v>
      </c>
      <c r="G24" s="75">
        <f t="shared" si="5"/>
        <v>41.666666666666664</v>
      </c>
      <c r="H24" s="75">
        <f>SUM('DATOS Y SUPUESTOS '!$G$12)/12</f>
        <v>30.5</v>
      </c>
      <c r="I24" s="75">
        <f t="shared" si="6"/>
        <v>20.833333333333332</v>
      </c>
      <c r="J24" s="76">
        <f t="shared" si="7"/>
        <v>148.75</v>
      </c>
    </row>
    <row r="25" spans="2:13" x14ac:dyDescent="0.25">
      <c r="B25" s="70">
        <v>5</v>
      </c>
      <c r="C25" s="74">
        <f t="shared" si="8"/>
        <v>1</v>
      </c>
      <c r="D25" s="74" t="str">
        <f t="shared" si="8"/>
        <v>Jefe de bodega</v>
      </c>
      <c r="E25" s="75">
        <f>I13-H13</f>
        <v>500</v>
      </c>
      <c r="F25" s="75">
        <f>E25*'DATOS Y SUPUESTOS '!$G$16</f>
        <v>55.75</v>
      </c>
      <c r="G25" s="75">
        <f t="shared" si="5"/>
        <v>41.666666666666664</v>
      </c>
      <c r="H25" s="75">
        <f>SUM('DATOS Y SUPUESTOS '!$G$12)/12</f>
        <v>30.5</v>
      </c>
      <c r="I25" s="75">
        <f t="shared" si="6"/>
        <v>20.833333333333332</v>
      </c>
      <c r="J25" s="76">
        <f t="shared" si="7"/>
        <v>148.75</v>
      </c>
    </row>
    <row r="26" spans="2:13" x14ac:dyDescent="0.25">
      <c r="B26" s="70">
        <v>6</v>
      </c>
      <c r="C26" s="74">
        <f t="shared" si="8"/>
        <v>3</v>
      </c>
      <c r="D26" s="74" t="str">
        <f t="shared" si="8"/>
        <v>Operadores</v>
      </c>
      <c r="E26" s="75">
        <f>I14-H14</f>
        <v>1200</v>
      </c>
      <c r="F26" s="75">
        <f>E26*'DATOS Y SUPUESTOS '!$G$16</f>
        <v>133.80000000000001</v>
      </c>
      <c r="G26" s="75">
        <f t="shared" si="5"/>
        <v>100</v>
      </c>
      <c r="H26" s="75">
        <f>SUM('DATOS Y SUPUESTOS '!$G$12)/12</f>
        <v>30.5</v>
      </c>
      <c r="I26" s="75">
        <f t="shared" si="6"/>
        <v>50</v>
      </c>
      <c r="J26" s="76">
        <f t="shared" si="7"/>
        <v>314.3</v>
      </c>
    </row>
    <row r="27" spans="2:13" x14ac:dyDescent="0.25">
      <c r="B27" s="365" t="s">
        <v>11</v>
      </c>
      <c r="C27" s="365"/>
      <c r="D27" s="365"/>
      <c r="E27" s="65">
        <f t="shared" ref="E27:J27" si="9">SUM(E21:E26)</f>
        <v>3800</v>
      </c>
      <c r="F27" s="65">
        <f t="shared" si="9"/>
        <v>423.7</v>
      </c>
      <c r="G27" s="65">
        <f t="shared" si="9"/>
        <v>316.66666666666663</v>
      </c>
      <c r="H27" s="65">
        <f t="shared" si="9"/>
        <v>183</v>
      </c>
      <c r="I27" s="65">
        <f t="shared" si="9"/>
        <v>158.33333333333331</v>
      </c>
      <c r="J27" s="65">
        <f t="shared" si="9"/>
        <v>1081.7</v>
      </c>
      <c r="K27" s="66"/>
    </row>
    <row r="28" spans="2:13" x14ac:dyDescent="0.25">
      <c r="B28" s="365" t="s">
        <v>102</v>
      </c>
      <c r="C28" s="365"/>
      <c r="D28" s="365"/>
      <c r="E28" s="65">
        <f t="shared" ref="E28:J28" si="10">E27*12</f>
        <v>45600</v>
      </c>
      <c r="F28" s="65">
        <f t="shared" si="10"/>
        <v>5084.3999999999996</v>
      </c>
      <c r="G28" s="65">
        <f t="shared" si="10"/>
        <v>3799.9999999999995</v>
      </c>
      <c r="H28" s="65">
        <f t="shared" si="10"/>
        <v>2196</v>
      </c>
      <c r="I28" s="65">
        <f t="shared" si="10"/>
        <v>1899.9999999999998</v>
      </c>
      <c r="J28" s="65">
        <f t="shared" si="10"/>
        <v>12980.400000000001</v>
      </c>
      <c r="K28" s="66"/>
    </row>
    <row r="32" spans="2:13" x14ac:dyDescent="0.25">
      <c r="C32" s="4" t="s">
        <v>258</v>
      </c>
      <c r="D32" s="2"/>
      <c r="E32" s="14">
        <f>SUM(I12+I13+I14+J24+J25+J26)</f>
        <v>2995.0600000000004</v>
      </c>
    </row>
    <row r="33" spans="3:5" x14ac:dyDescent="0.25">
      <c r="C33" s="4" t="s">
        <v>257</v>
      </c>
      <c r="D33" s="2"/>
      <c r="E33" s="14">
        <f>SUM(I9+I10+I11+J21+J22+J23)</f>
        <v>2203.1799999999998</v>
      </c>
    </row>
    <row r="34" spans="3:5" x14ac:dyDescent="0.25">
      <c r="C34" s="4" t="s">
        <v>265</v>
      </c>
      <c r="D34" s="2"/>
      <c r="E34" s="14">
        <f>SUM(J24+J25+J26)</f>
        <v>611.79999999999995</v>
      </c>
    </row>
  </sheetData>
  <mergeCells count="8">
    <mergeCell ref="B27:D27"/>
    <mergeCell ref="B28:D28"/>
    <mergeCell ref="C3:M3"/>
    <mergeCell ref="C4:M4"/>
    <mergeCell ref="B7:M7"/>
    <mergeCell ref="B15:D15"/>
    <mergeCell ref="B16:D16"/>
    <mergeCell ref="B19:J1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D16"/>
  <sheetViews>
    <sheetView zoomScaleNormal="100" workbookViewId="0">
      <selection activeCell="I12" sqref="I12"/>
    </sheetView>
  </sheetViews>
  <sheetFormatPr baseColWidth="10" defaultRowHeight="15" x14ac:dyDescent="0.25"/>
  <cols>
    <col min="1" max="1" width="9.28515625" customWidth="1"/>
    <col min="2" max="2" width="11.42578125" hidden="1" customWidth="1"/>
    <col min="3" max="3" width="47.28515625" customWidth="1"/>
  </cols>
  <sheetData>
    <row r="2" spans="2:4" ht="18" x14ac:dyDescent="0.25">
      <c r="B2" s="52"/>
      <c r="C2" s="370" t="s">
        <v>10</v>
      </c>
      <c r="D2" s="370"/>
    </row>
    <row r="4" spans="2:4" x14ac:dyDescent="0.25">
      <c r="C4" s="368" t="s">
        <v>7</v>
      </c>
      <c r="D4" s="369"/>
    </row>
    <row r="5" spans="2:4" x14ac:dyDescent="0.25">
      <c r="C5" s="2" t="s">
        <v>61</v>
      </c>
      <c r="D5" s="9">
        <f>('DATOS Y SUPUESTOS '!F103)*3</f>
        <v>10221.6</v>
      </c>
    </row>
    <row r="6" spans="2:4" x14ac:dyDescent="0.25">
      <c r="C6" s="2" t="s">
        <v>62</v>
      </c>
      <c r="D6" s="9">
        <f>('DATOS Y SUPUESTOS '!F100)*3</f>
        <v>120</v>
      </c>
    </row>
    <row r="7" spans="2:4" x14ac:dyDescent="0.25">
      <c r="C7" s="2" t="s">
        <v>63</v>
      </c>
      <c r="D7" s="9">
        <f>('DATOS Y SUPUESTOS '!F101)*3</f>
        <v>450</v>
      </c>
    </row>
    <row r="8" spans="2:4" x14ac:dyDescent="0.25">
      <c r="C8" s="2" t="s">
        <v>64</v>
      </c>
      <c r="D8" s="9">
        <f>'DATOS Y SUPUESTOS '!F102</f>
        <v>20</v>
      </c>
    </row>
    <row r="9" spans="2:4" x14ac:dyDescent="0.25">
      <c r="C9" s="2" t="s">
        <v>251</v>
      </c>
      <c r="D9" s="9">
        <f>'ROL DE PAGOS '!E33</f>
        <v>2203.1799999999998</v>
      </c>
    </row>
    <row r="10" spans="2:4" x14ac:dyDescent="0.25">
      <c r="C10" s="2" t="s">
        <v>259</v>
      </c>
      <c r="D10" s="9">
        <f>'ROL DE PAGOS '!E32</f>
        <v>2995.0600000000004</v>
      </c>
    </row>
    <row r="11" spans="2:4" x14ac:dyDescent="0.25">
      <c r="C11" s="2" t="s">
        <v>252</v>
      </c>
      <c r="D11" s="9">
        <f>('DATOS Y SUPUESTOS '!C100)*3</f>
        <v>2400</v>
      </c>
    </row>
    <row r="12" spans="2:4" x14ac:dyDescent="0.25">
      <c r="C12" s="2" t="s">
        <v>253</v>
      </c>
      <c r="D12" s="9">
        <f>('DATOS Y SUPUESTOS '!C102)*3</f>
        <v>600</v>
      </c>
    </row>
    <row r="13" spans="2:4" x14ac:dyDescent="0.25">
      <c r="C13" s="2" t="s">
        <v>65</v>
      </c>
      <c r="D13" s="9">
        <f>('DATOS Y SUPUESTOS '!C103)*3</f>
        <v>75</v>
      </c>
    </row>
    <row r="14" spans="2:4" x14ac:dyDescent="0.25">
      <c r="C14" s="2" t="s">
        <v>254</v>
      </c>
      <c r="D14" s="9">
        <f>('DATOS Y SUPUESTOS '!C104)*3</f>
        <v>450</v>
      </c>
    </row>
    <row r="15" spans="2:4" x14ac:dyDescent="0.25">
      <c r="C15" s="2"/>
      <c r="D15" s="2"/>
    </row>
    <row r="16" spans="2:4" x14ac:dyDescent="0.25">
      <c r="C16" s="155" t="s">
        <v>238</v>
      </c>
      <c r="D16" s="156">
        <f>SUM(D5:D15)</f>
        <v>19534.84</v>
      </c>
    </row>
  </sheetData>
  <mergeCells count="2">
    <mergeCell ref="C4:D4"/>
    <mergeCell ref="C2:D2"/>
  </mergeCells>
  <pageMargins left="0.7" right="0.7" top="0.75" bottom="0.75" header="0.3" footer="0.3"/>
  <pageSetup paperSize="9" orientation="portrait" r:id="rId1"/>
  <headerFooter>
    <oddHeader xml:space="preserve">&amp;C.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3:D20"/>
  <sheetViews>
    <sheetView zoomScaleNormal="100" workbookViewId="0">
      <selection activeCell="K11" sqref="K11"/>
    </sheetView>
  </sheetViews>
  <sheetFormatPr baseColWidth="10" defaultRowHeight="15" x14ac:dyDescent="0.25"/>
  <cols>
    <col min="2" max="2" width="27.140625" customWidth="1"/>
    <col min="3" max="3" width="17.5703125" customWidth="1"/>
    <col min="4" max="4" width="15.42578125" customWidth="1"/>
  </cols>
  <sheetData>
    <row r="3" spans="2:4" x14ac:dyDescent="0.25">
      <c r="B3" s="371" t="s">
        <v>9</v>
      </c>
      <c r="C3" s="371"/>
      <c r="D3" s="371"/>
    </row>
    <row r="5" spans="2:4" x14ac:dyDescent="0.25">
      <c r="B5" s="147" t="s">
        <v>163</v>
      </c>
      <c r="C5" s="144" t="s">
        <v>170</v>
      </c>
      <c r="D5" s="144" t="s">
        <v>11</v>
      </c>
    </row>
    <row r="6" spans="2:4" x14ac:dyDescent="0.25">
      <c r="B6" s="150" t="s">
        <v>164</v>
      </c>
      <c r="C6" s="9"/>
      <c r="D6" s="9">
        <f>SUM(C7:C11)</f>
        <v>43965</v>
      </c>
    </row>
    <row r="7" spans="2:4" x14ac:dyDescent="0.25">
      <c r="B7" s="2" t="str">
        <f>+DEPRECIACIONES!B6</f>
        <v>MUBLES Y ENSERES</v>
      </c>
      <c r="C7" s="10">
        <f>'DATOS Y SUPUESTOS '!F33</f>
        <v>800</v>
      </c>
      <c r="D7" s="9"/>
    </row>
    <row r="8" spans="2:4" x14ac:dyDescent="0.25">
      <c r="B8" s="2" t="str">
        <f>+DEPRECIACIONES!B7</f>
        <v xml:space="preserve">EQUIPO DE OFICINA </v>
      </c>
      <c r="C8" s="10">
        <f>'DATOS Y SUPUESTOS '!F41</f>
        <v>20</v>
      </c>
      <c r="D8" s="9"/>
    </row>
    <row r="9" spans="2:4" x14ac:dyDescent="0.25">
      <c r="B9" s="2" t="str">
        <f>+DEPRECIACIONES!B8</f>
        <v xml:space="preserve">EQUIPO DE COMPUTO </v>
      </c>
      <c r="C9" s="10">
        <f>'DATOS Y SUPUESTOS '!F37</f>
        <v>4300</v>
      </c>
      <c r="D9" s="9"/>
    </row>
    <row r="10" spans="2:4" x14ac:dyDescent="0.25">
      <c r="B10" s="2" t="str">
        <f>+DEPRECIACIONES!B9</f>
        <v xml:space="preserve">MAQUINARIA </v>
      </c>
      <c r="C10" s="10">
        <f>'DATOS Y SUPUESTOS '!F25</f>
        <v>18845</v>
      </c>
      <c r="D10" s="9"/>
    </row>
    <row r="11" spans="2:4" x14ac:dyDescent="0.25">
      <c r="B11" s="2" t="str">
        <f>+DEPRECIACIONES!B10</f>
        <v xml:space="preserve">VEHICULO </v>
      </c>
      <c r="C11" s="10">
        <f>'DATOS Y SUPUESTOS '!F44</f>
        <v>20000</v>
      </c>
      <c r="D11" s="9"/>
    </row>
    <row r="12" spans="2:4" x14ac:dyDescent="0.25">
      <c r="B12" s="150" t="s">
        <v>236</v>
      </c>
      <c r="C12" s="10"/>
      <c r="D12" s="9">
        <f>+C13</f>
        <v>600</v>
      </c>
    </row>
    <row r="13" spans="2:4" x14ac:dyDescent="0.25">
      <c r="B13" s="2" t="str">
        <f>+'ACTIVO INTANGIBLE '!B8</f>
        <v>GASTO DE CONSTITUCIÓN</v>
      </c>
      <c r="C13" s="10">
        <f>'DATOS Y SUPUESTOS '!C67</f>
        <v>600</v>
      </c>
      <c r="D13" s="9"/>
    </row>
    <row r="14" spans="2:4" x14ac:dyDescent="0.25">
      <c r="B14" s="150" t="s">
        <v>7</v>
      </c>
      <c r="C14" s="10"/>
      <c r="D14" s="9">
        <f>'M. CAPITAL DE TRABAJO '!D16</f>
        <v>19534.84</v>
      </c>
    </row>
    <row r="15" spans="2:4" x14ac:dyDescent="0.25">
      <c r="B15" s="2"/>
      <c r="C15" s="2"/>
      <c r="D15" s="2"/>
    </row>
    <row r="16" spans="2:4" x14ac:dyDescent="0.25">
      <c r="B16" s="2"/>
      <c r="C16" s="2"/>
      <c r="D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  <row r="20" spans="2:4" x14ac:dyDescent="0.25">
      <c r="B20" s="157" t="s">
        <v>6</v>
      </c>
      <c r="C20" s="158"/>
      <c r="D20" s="151">
        <f>SUM(D6:D14)</f>
        <v>64099.839999999997</v>
      </c>
    </row>
  </sheetData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C19"/>
  <sheetViews>
    <sheetView zoomScaleNormal="100" workbookViewId="0">
      <selection activeCell="K18" sqref="K18"/>
    </sheetView>
  </sheetViews>
  <sheetFormatPr baseColWidth="10" defaultRowHeight="15" x14ac:dyDescent="0.25"/>
  <cols>
    <col min="2" max="2" width="33.42578125" customWidth="1"/>
  </cols>
  <sheetData>
    <row r="2" spans="1:3" x14ac:dyDescent="0.25">
      <c r="B2" s="147" t="s">
        <v>264</v>
      </c>
      <c r="C2" s="160">
        <f>'M. INVERSIÓN'!D20</f>
        <v>64099.839999999997</v>
      </c>
    </row>
    <row r="4" spans="1:3" x14ac:dyDescent="0.25">
      <c r="B4" s="143" t="s">
        <v>171</v>
      </c>
      <c r="C4" s="143" t="s">
        <v>177</v>
      </c>
    </row>
    <row r="5" spans="1:3" x14ac:dyDescent="0.25">
      <c r="B5" s="2" t="s">
        <v>172</v>
      </c>
      <c r="C5" s="9">
        <f>SUM($C$10/5)</f>
        <v>5127.9872000000005</v>
      </c>
    </row>
    <row r="6" spans="1:3" x14ac:dyDescent="0.25">
      <c r="B6" s="2" t="s">
        <v>173</v>
      </c>
      <c r="C6" s="9">
        <f>SUM($C$10/5)</f>
        <v>5127.9872000000005</v>
      </c>
    </row>
    <row r="7" spans="1:3" x14ac:dyDescent="0.25">
      <c r="B7" s="2" t="s">
        <v>174</v>
      </c>
      <c r="C7" s="9">
        <f>SUM($C$10/5)</f>
        <v>5127.9872000000005</v>
      </c>
    </row>
    <row r="8" spans="1:3" x14ac:dyDescent="0.25">
      <c r="B8" s="2" t="s">
        <v>175</v>
      </c>
      <c r="C8" s="9">
        <f>SUM($C$10/5)</f>
        <v>5127.9872000000005</v>
      </c>
    </row>
    <row r="9" spans="1:3" x14ac:dyDescent="0.25">
      <c r="B9" s="2" t="s">
        <v>176</v>
      </c>
      <c r="C9" s="9">
        <f>SUM($C$10/5)</f>
        <v>5127.9872000000005</v>
      </c>
    </row>
    <row r="10" spans="1:3" x14ac:dyDescent="0.25">
      <c r="B10" s="3" t="s">
        <v>178</v>
      </c>
      <c r="C10" s="9">
        <f>SUM(C2*'DATOS Y SUPUESTOS '!G20)</f>
        <v>25639.936000000002</v>
      </c>
    </row>
    <row r="11" spans="1:3" x14ac:dyDescent="0.25">
      <c r="B11" s="3" t="s">
        <v>231</v>
      </c>
      <c r="C11" s="9">
        <f>SUM(C2*'DATOS Y SUPUESTOS '!G19)</f>
        <v>22434.943999999996</v>
      </c>
    </row>
    <row r="12" spans="1:3" x14ac:dyDescent="0.25">
      <c r="B12" s="29"/>
      <c r="C12" s="30"/>
    </row>
    <row r="13" spans="1:3" ht="15.75" x14ac:dyDescent="0.25">
      <c r="A13" s="372" t="s">
        <v>14</v>
      </c>
      <c r="B13" s="372"/>
      <c r="C13" s="372"/>
    </row>
    <row r="15" spans="1:3" x14ac:dyDescent="0.25">
      <c r="C15" s="147" t="s">
        <v>13</v>
      </c>
    </row>
    <row r="16" spans="1:3" x14ac:dyDescent="0.25">
      <c r="B16" s="148" t="s">
        <v>12</v>
      </c>
      <c r="C16" s="149">
        <f>+C10</f>
        <v>25639.936000000002</v>
      </c>
    </row>
    <row r="17" spans="2:3" x14ac:dyDescent="0.25">
      <c r="B17" s="148" t="s">
        <v>354</v>
      </c>
      <c r="C17" s="149">
        <f>C11</f>
        <v>22434.943999999996</v>
      </c>
    </row>
    <row r="18" spans="2:3" x14ac:dyDescent="0.25">
      <c r="B18" s="148" t="s">
        <v>353</v>
      </c>
      <c r="C18" s="149">
        <f>SUM(C2*'DATOS Y SUPUESTOS '!G21)</f>
        <v>16024.96</v>
      </c>
    </row>
    <row r="19" spans="2:3" x14ac:dyDescent="0.25">
      <c r="B19" s="148" t="s">
        <v>11</v>
      </c>
      <c r="C19" s="161">
        <f>SUM(C16:C18)</f>
        <v>64099.839999999997</v>
      </c>
    </row>
  </sheetData>
  <mergeCells count="1">
    <mergeCell ref="A13:C1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H75"/>
  <sheetViews>
    <sheetView zoomScaleNormal="100" zoomScalePageLayoutView="105" workbookViewId="0"/>
  </sheetViews>
  <sheetFormatPr baseColWidth="10" defaultRowHeight="15" x14ac:dyDescent="0.25"/>
  <cols>
    <col min="1" max="1" width="6.140625" customWidth="1"/>
    <col min="2" max="2" width="19.5703125" customWidth="1"/>
    <col min="3" max="3" width="16.5703125" customWidth="1"/>
    <col min="4" max="4" width="16.7109375" customWidth="1"/>
    <col min="5" max="5" width="12.5703125" customWidth="1"/>
    <col min="6" max="6" width="14.42578125" customWidth="1"/>
    <col min="7" max="7" width="15.42578125" customWidth="1"/>
    <col min="8" max="8" width="17.28515625" customWidth="1"/>
  </cols>
  <sheetData>
    <row r="1" spans="2:8" ht="14.25" customHeight="1" x14ac:dyDescent="0.25"/>
    <row r="2" spans="2:8" ht="27.75" customHeight="1" x14ac:dyDescent="0.25">
      <c r="B2" s="370" t="s">
        <v>18</v>
      </c>
      <c r="C2" s="370"/>
      <c r="D2" s="370"/>
      <c r="E2" s="370"/>
      <c r="F2" s="370"/>
      <c r="G2" s="370"/>
      <c r="H2" s="370"/>
    </row>
    <row r="3" spans="2:8" ht="14.25" customHeight="1" x14ac:dyDescent="0.25"/>
    <row r="4" spans="2:8" ht="14.25" customHeight="1" thickBot="1" x14ac:dyDescent="0.3">
      <c r="B4" s="35"/>
    </row>
    <row r="5" spans="2:8" ht="14.25" customHeight="1" x14ac:dyDescent="0.25">
      <c r="B5" s="175" t="s">
        <v>186</v>
      </c>
      <c r="C5" s="176" t="s">
        <v>180</v>
      </c>
    </row>
    <row r="6" spans="2:8" ht="14.25" customHeight="1" x14ac:dyDescent="0.25">
      <c r="B6" s="177" t="s">
        <v>185</v>
      </c>
      <c r="C6" s="178">
        <f>+'M. DE FINANCIAMIENTO'!C17</f>
        <v>22434.943999999996</v>
      </c>
    </row>
    <row r="7" spans="2:8" ht="14.25" customHeight="1" x14ac:dyDescent="0.25">
      <c r="B7" s="177" t="s">
        <v>183</v>
      </c>
      <c r="C7" s="179">
        <f>+'DATOS Y SUPUESTOS '!G13</f>
        <v>0.10920000000000001</v>
      </c>
      <c r="D7" s="35"/>
    </row>
    <row r="8" spans="2:8" ht="14.25" customHeight="1" x14ac:dyDescent="0.25">
      <c r="B8" s="177" t="s">
        <v>184</v>
      </c>
      <c r="C8" s="180">
        <f>SUM(C7/12)</f>
        <v>9.1000000000000004E-3</v>
      </c>
    </row>
    <row r="9" spans="2:8" ht="14.25" customHeight="1" x14ac:dyDescent="0.25">
      <c r="B9" s="177" t="s">
        <v>187</v>
      </c>
      <c r="C9" s="181">
        <v>5</v>
      </c>
      <c r="D9" s="35" t="s">
        <v>181</v>
      </c>
    </row>
    <row r="10" spans="2:8" ht="14.25" customHeight="1" thickBot="1" x14ac:dyDescent="0.3">
      <c r="B10" s="182" t="s">
        <v>189</v>
      </c>
      <c r="C10" s="183">
        <f>C9*12</f>
        <v>60</v>
      </c>
      <c r="D10" s="35" t="s">
        <v>182</v>
      </c>
    </row>
    <row r="11" spans="2:8" ht="14.25" customHeight="1" x14ac:dyDescent="0.25">
      <c r="C11" s="36"/>
      <c r="D11" s="35"/>
    </row>
    <row r="12" spans="2:8" ht="14.25" customHeight="1" x14ac:dyDescent="0.25">
      <c r="B12" s="34"/>
      <c r="C12" s="37"/>
      <c r="D12" s="35"/>
    </row>
    <row r="13" spans="2:8" ht="14.25" customHeight="1" thickBot="1" x14ac:dyDescent="0.3"/>
    <row r="14" spans="2:8" ht="14.25" customHeight="1" x14ac:dyDescent="0.25">
      <c r="B14" s="162" t="s">
        <v>17</v>
      </c>
      <c r="C14" s="163" t="s">
        <v>142</v>
      </c>
      <c r="D14" s="163" t="s">
        <v>16</v>
      </c>
      <c r="E14" s="163" t="s">
        <v>179</v>
      </c>
      <c r="F14" s="163" t="s">
        <v>15</v>
      </c>
      <c r="G14" s="171" t="s">
        <v>190</v>
      </c>
      <c r="H14" s="172" t="s">
        <v>191</v>
      </c>
    </row>
    <row r="15" spans="2:8" ht="14.25" customHeight="1" x14ac:dyDescent="0.25">
      <c r="B15" s="164">
        <v>0</v>
      </c>
      <c r="C15" s="32"/>
      <c r="D15" s="32"/>
      <c r="E15" s="32"/>
      <c r="F15" s="39">
        <f>+C6</f>
        <v>22434.943999999996</v>
      </c>
      <c r="G15" s="2"/>
      <c r="H15" s="165"/>
    </row>
    <row r="16" spans="2:8" ht="14.25" customHeight="1" x14ac:dyDescent="0.25">
      <c r="B16" s="164">
        <v>1</v>
      </c>
      <c r="C16" s="33">
        <f>E16-D16</f>
        <v>282.73745052676003</v>
      </c>
      <c r="D16" s="33">
        <f>F15*$C$8</f>
        <v>204.15799039999996</v>
      </c>
      <c r="E16" s="33">
        <f>PMT($C$8,$C$10,-$C$6)</f>
        <v>486.89544092675999</v>
      </c>
      <c r="F16" s="33">
        <f>F15-C16</f>
        <v>22152.206549473234</v>
      </c>
      <c r="G16" s="2"/>
      <c r="H16" s="165"/>
    </row>
    <row r="17" spans="2:8" ht="14.25" customHeight="1" x14ac:dyDescent="0.25">
      <c r="B17" s="164">
        <v>2</v>
      </c>
      <c r="C17" s="33">
        <f t="shared" ref="C17:C75" si="0">E17-D17</f>
        <v>285.31036132655356</v>
      </c>
      <c r="D17" s="33">
        <f t="shared" ref="D17:D75" si="1">F16*$C$8</f>
        <v>201.58507960020643</v>
      </c>
      <c r="E17" s="33">
        <f t="shared" ref="E17:E75" si="2">PMT($C$8,$C$10,-$C$6)</f>
        <v>486.89544092675999</v>
      </c>
      <c r="F17" s="33">
        <f t="shared" ref="F17:F75" si="3">F16-C17</f>
        <v>21866.896188146682</v>
      </c>
      <c r="G17" s="2"/>
      <c r="H17" s="165"/>
    </row>
    <row r="18" spans="2:8" ht="14.25" customHeight="1" x14ac:dyDescent="0.25">
      <c r="B18" s="164">
        <v>3</v>
      </c>
      <c r="C18" s="33">
        <f t="shared" si="0"/>
        <v>287.90668561462519</v>
      </c>
      <c r="D18" s="33">
        <f t="shared" si="1"/>
        <v>198.98875531213483</v>
      </c>
      <c r="E18" s="33">
        <f t="shared" si="2"/>
        <v>486.89544092675999</v>
      </c>
      <c r="F18" s="33">
        <f t="shared" si="3"/>
        <v>21578.989502532058</v>
      </c>
      <c r="G18" s="2"/>
      <c r="H18" s="165"/>
    </row>
    <row r="19" spans="2:8" ht="14.25" customHeight="1" x14ac:dyDescent="0.25">
      <c r="B19" s="164">
        <v>4</v>
      </c>
      <c r="C19" s="33">
        <f t="shared" si="0"/>
        <v>290.52663645371825</v>
      </c>
      <c r="D19" s="33">
        <f t="shared" si="1"/>
        <v>196.36880447304173</v>
      </c>
      <c r="E19" s="33">
        <f t="shared" si="2"/>
        <v>486.89544092675999</v>
      </c>
      <c r="F19" s="33">
        <f t="shared" si="3"/>
        <v>21288.462866078342</v>
      </c>
      <c r="G19" s="2"/>
      <c r="H19" s="165"/>
    </row>
    <row r="20" spans="2:8" ht="14.25" customHeight="1" x14ac:dyDescent="0.25">
      <c r="B20" s="164">
        <v>5</v>
      </c>
      <c r="C20" s="33">
        <f t="shared" si="0"/>
        <v>293.17042884544708</v>
      </c>
      <c r="D20" s="33">
        <f t="shared" si="1"/>
        <v>193.72501208131291</v>
      </c>
      <c r="E20" s="33">
        <f t="shared" si="2"/>
        <v>486.89544092675999</v>
      </c>
      <c r="F20" s="33">
        <f t="shared" si="3"/>
        <v>20995.292437232896</v>
      </c>
      <c r="G20" s="2"/>
      <c r="H20" s="165"/>
    </row>
    <row r="21" spans="2:8" ht="14.25" customHeight="1" x14ac:dyDescent="0.25">
      <c r="B21" s="164">
        <v>6</v>
      </c>
      <c r="C21" s="33">
        <f t="shared" si="0"/>
        <v>295.83827974794065</v>
      </c>
      <c r="D21" s="33">
        <f t="shared" si="1"/>
        <v>191.05716117881937</v>
      </c>
      <c r="E21" s="33">
        <f t="shared" si="2"/>
        <v>486.89544092675999</v>
      </c>
      <c r="F21" s="33">
        <f t="shared" si="3"/>
        <v>20699.454157484957</v>
      </c>
      <c r="G21" s="2"/>
      <c r="H21" s="165"/>
    </row>
    <row r="22" spans="2:8" ht="14.25" customHeight="1" x14ac:dyDescent="0.25">
      <c r="B22" s="164">
        <v>7</v>
      </c>
      <c r="C22" s="33">
        <f t="shared" si="0"/>
        <v>298.53040809364688</v>
      </c>
      <c r="D22" s="33">
        <f t="shared" si="1"/>
        <v>188.36503283311313</v>
      </c>
      <c r="E22" s="33">
        <f t="shared" si="2"/>
        <v>486.89544092675999</v>
      </c>
      <c r="F22" s="33">
        <f t="shared" si="3"/>
        <v>20400.92374939131</v>
      </c>
      <c r="G22" s="2"/>
      <c r="H22" s="165"/>
    </row>
    <row r="23" spans="2:8" ht="14.25" customHeight="1" x14ac:dyDescent="0.25">
      <c r="B23" s="164">
        <v>8</v>
      </c>
      <c r="C23" s="33">
        <f t="shared" si="0"/>
        <v>301.24703480729909</v>
      </c>
      <c r="D23" s="33">
        <f t="shared" si="1"/>
        <v>185.64840611946093</v>
      </c>
      <c r="E23" s="33">
        <f t="shared" si="2"/>
        <v>486.89544092675999</v>
      </c>
      <c r="F23" s="33">
        <f t="shared" si="3"/>
        <v>20099.676714584009</v>
      </c>
      <c r="G23" s="2"/>
      <c r="H23" s="165"/>
    </row>
    <row r="24" spans="2:8" ht="14.25" customHeight="1" x14ac:dyDescent="0.25">
      <c r="B24" s="164">
        <v>9</v>
      </c>
      <c r="C24" s="33">
        <f t="shared" si="0"/>
        <v>303.98838282404552</v>
      </c>
      <c r="D24" s="33">
        <f t="shared" si="1"/>
        <v>182.9070581027145</v>
      </c>
      <c r="E24" s="33">
        <f t="shared" si="2"/>
        <v>486.89544092675999</v>
      </c>
      <c r="F24" s="33">
        <f t="shared" si="3"/>
        <v>19795.688331759964</v>
      </c>
      <c r="G24" s="2"/>
      <c r="H24" s="165"/>
    </row>
    <row r="25" spans="2:8" ht="14.25" customHeight="1" x14ac:dyDescent="0.25">
      <c r="B25" s="164">
        <v>10</v>
      </c>
      <c r="C25" s="33">
        <f t="shared" si="0"/>
        <v>306.75467710774433</v>
      </c>
      <c r="D25" s="33">
        <f t="shared" si="1"/>
        <v>180.14076381901569</v>
      </c>
      <c r="E25" s="33">
        <f t="shared" si="2"/>
        <v>486.89544092675999</v>
      </c>
      <c r="F25" s="33">
        <f t="shared" si="3"/>
        <v>19488.933654652221</v>
      </c>
      <c r="G25" s="2"/>
      <c r="H25" s="165"/>
    </row>
    <row r="26" spans="2:8" ht="17.25" customHeight="1" x14ac:dyDescent="0.25">
      <c r="B26" s="164">
        <v>11</v>
      </c>
      <c r="C26" s="33">
        <f t="shared" si="0"/>
        <v>309.54614466942473</v>
      </c>
      <c r="D26" s="33">
        <f t="shared" si="1"/>
        <v>177.34929625733523</v>
      </c>
      <c r="E26" s="33">
        <f t="shared" si="2"/>
        <v>486.89544092675999</v>
      </c>
      <c r="F26" s="33">
        <f t="shared" si="3"/>
        <v>19179.387509982796</v>
      </c>
      <c r="G26" s="2"/>
      <c r="H26" s="165"/>
    </row>
    <row r="27" spans="2:8" ht="14.25" customHeight="1" x14ac:dyDescent="0.25">
      <c r="B27" s="164">
        <v>12</v>
      </c>
      <c r="C27" s="33">
        <f t="shared" si="0"/>
        <v>312.36301458591652</v>
      </c>
      <c r="D27" s="33">
        <f t="shared" si="1"/>
        <v>174.53242634084344</v>
      </c>
      <c r="E27" s="33">
        <f t="shared" si="2"/>
        <v>486.89544092675999</v>
      </c>
      <c r="F27" s="33">
        <f t="shared" si="3"/>
        <v>18867.02449539688</v>
      </c>
      <c r="G27" s="11">
        <f>SUM(C16:C27)</f>
        <v>3567.9195046031218</v>
      </c>
      <c r="H27" s="166">
        <f>SUM(D16:D27)</f>
        <v>2274.8257865179985</v>
      </c>
    </row>
    <row r="28" spans="2:8" ht="14.25" customHeight="1" x14ac:dyDescent="0.25">
      <c r="B28" s="164">
        <v>13</v>
      </c>
      <c r="C28" s="33">
        <f t="shared" si="0"/>
        <v>315.20551801864838</v>
      </c>
      <c r="D28" s="33">
        <f t="shared" si="1"/>
        <v>171.68992290811161</v>
      </c>
      <c r="E28" s="33">
        <f t="shared" si="2"/>
        <v>486.89544092675999</v>
      </c>
      <c r="F28" s="33">
        <f t="shared" si="3"/>
        <v>18551.818977378232</v>
      </c>
      <c r="G28" s="2"/>
      <c r="H28" s="165"/>
    </row>
    <row r="29" spans="2:8" ht="14.25" customHeight="1" x14ac:dyDescent="0.25">
      <c r="B29" s="164">
        <v>14</v>
      </c>
      <c r="C29" s="33">
        <f t="shared" si="0"/>
        <v>318.07388823261806</v>
      </c>
      <c r="D29" s="33">
        <f t="shared" si="1"/>
        <v>168.82155269414193</v>
      </c>
      <c r="E29" s="33">
        <f t="shared" si="2"/>
        <v>486.89544092675999</v>
      </c>
      <c r="F29" s="33">
        <f t="shared" si="3"/>
        <v>18233.745089145614</v>
      </c>
      <c r="G29" s="2"/>
      <c r="H29" s="165"/>
    </row>
    <row r="30" spans="2:8" ht="14.25" customHeight="1" x14ac:dyDescent="0.25">
      <c r="B30" s="164">
        <v>15</v>
      </c>
      <c r="C30" s="33">
        <f t="shared" si="0"/>
        <v>320.96836061553489</v>
      </c>
      <c r="D30" s="33">
        <f t="shared" si="1"/>
        <v>165.9270803112251</v>
      </c>
      <c r="E30" s="33">
        <f t="shared" si="2"/>
        <v>486.89544092675999</v>
      </c>
      <c r="F30" s="33">
        <f t="shared" si="3"/>
        <v>17912.77672853008</v>
      </c>
      <c r="G30" s="2"/>
      <c r="H30" s="165"/>
    </row>
    <row r="31" spans="2:8" ht="14.25" customHeight="1" x14ac:dyDescent="0.25">
      <c r="B31" s="164">
        <v>16</v>
      </c>
      <c r="C31" s="33">
        <f t="shared" si="0"/>
        <v>323.88917269713625</v>
      </c>
      <c r="D31" s="33">
        <f t="shared" si="1"/>
        <v>163.00626822962374</v>
      </c>
      <c r="E31" s="33">
        <f t="shared" si="2"/>
        <v>486.89544092675999</v>
      </c>
      <c r="F31" s="33">
        <f t="shared" si="3"/>
        <v>17588.887555832942</v>
      </c>
      <c r="G31" s="2"/>
      <c r="H31" s="165"/>
    </row>
    <row r="32" spans="2:8" ht="14.25" customHeight="1" x14ac:dyDescent="0.25">
      <c r="B32" s="164">
        <v>17</v>
      </c>
      <c r="C32" s="33">
        <f t="shared" si="0"/>
        <v>326.83656416868018</v>
      </c>
      <c r="D32" s="33">
        <f t="shared" si="1"/>
        <v>160.05887675807978</v>
      </c>
      <c r="E32" s="33">
        <f t="shared" si="2"/>
        <v>486.89544092675999</v>
      </c>
      <c r="F32" s="33">
        <f t="shared" si="3"/>
        <v>17262.050991664262</v>
      </c>
      <c r="G32" s="2"/>
      <c r="H32" s="165"/>
    </row>
    <row r="33" spans="2:8" ht="14.25" customHeight="1" x14ac:dyDescent="0.25">
      <c r="B33" s="164">
        <v>18</v>
      </c>
      <c r="C33" s="33">
        <f t="shared" si="0"/>
        <v>329.8107769026152</v>
      </c>
      <c r="D33" s="33">
        <f t="shared" si="1"/>
        <v>157.08466402414479</v>
      </c>
      <c r="E33" s="33">
        <f t="shared" si="2"/>
        <v>486.89544092675999</v>
      </c>
      <c r="F33" s="33">
        <f t="shared" si="3"/>
        <v>16932.240214761649</v>
      </c>
      <c r="G33" s="2"/>
      <c r="H33" s="165"/>
    </row>
    <row r="34" spans="2:8" ht="14.25" customHeight="1" x14ac:dyDescent="0.25">
      <c r="B34" s="164">
        <v>19</v>
      </c>
      <c r="C34" s="33">
        <f t="shared" si="0"/>
        <v>332.812054972429</v>
      </c>
      <c r="D34" s="33">
        <f t="shared" si="1"/>
        <v>154.08338595433102</v>
      </c>
      <c r="E34" s="33">
        <f t="shared" si="2"/>
        <v>486.89544092675999</v>
      </c>
      <c r="F34" s="33">
        <f t="shared" si="3"/>
        <v>16599.428159789219</v>
      </c>
      <c r="G34" s="2"/>
      <c r="H34" s="165"/>
    </row>
    <row r="35" spans="2:8" ht="14.25" customHeight="1" x14ac:dyDescent="0.25">
      <c r="B35" s="164">
        <v>20</v>
      </c>
      <c r="C35" s="33">
        <f t="shared" si="0"/>
        <v>335.84064467267808</v>
      </c>
      <c r="D35" s="33">
        <f t="shared" si="1"/>
        <v>151.05479625408191</v>
      </c>
      <c r="E35" s="33">
        <f t="shared" si="2"/>
        <v>486.89544092675999</v>
      </c>
      <c r="F35" s="33">
        <f t="shared" si="3"/>
        <v>16263.58751511654</v>
      </c>
      <c r="G35" s="2"/>
      <c r="H35" s="165"/>
    </row>
    <row r="36" spans="2:8" ht="14.25" customHeight="1" x14ac:dyDescent="0.25">
      <c r="B36" s="164">
        <v>21</v>
      </c>
      <c r="C36" s="33">
        <f t="shared" si="0"/>
        <v>338.8967945391995</v>
      </c>
      <c r="D36" s="33">
        <f t="shared" si="1"/>
        <v>147.99864638756051</v>
      </c>
      <c r="E36" s="33">
        <f t="shared" si="2"/>
        <v>486.89544092675999</v>
      </c>
      <c r="F36" s="33">
        <f t="shared" si="3"/>
        <v>15924.69072057734</v>
      </c>
      <c r="G36" s="2"/>
      <c r="H36" s="165"/>
    </row>
    <row r="37" spans="2:8" ht="14.25" customHeight="1" x14ac:dyDescent="0.25">
      <c r="B37" s="164">
        <v>22</v>
      </c>
      <c r="C37" s="33">
        <f t="shared" si="0"/>
        <v>341.98075536950614</v>
      </c>
      <c r="D37" s="33">
        <f t="shared" si="1"/>
        <v>144.91468555725382</v>
      </c>
      <c r="E37" s="33">
        <f t="shared" si="2"/>
        <v>486.89544092675999</v>
      </c>
      <c r="F37" s="33">
        <f t="shared" si="3"/>
        <v>15582.709965207834</v>
      </c>
      <c r="G37" s="2"/>
      <c r="H37" s="165"/>
    </row>
    <row r="38" spans="2:8" ht="14.25" customHeight="1" x14ac:dyDescent="0.25">
      <c r="B38" s="164">
        <v>23</v>
      </c>
      <c r="C38" s="33">
        <f t="shared" si="0"/>
        <v>345.09278024336868</v>
      </c>
      <c r="D38" s="33">
        <f t="shared" si="1"/>
        <v>141.80266068339131</v>
      </c>
      <c r="E38" s="33">
        <f t="shared" si="2"/>
        <v>486.89544092675999</v>
      </c>
      <c r="F38" s="33">
        <f t="shared" si="3"/>
        <v>15237.617184964465</v>
      </c>
      <c r="G38" s="2"/>
      <c r="H38" s="165"/>
    </row>
    <row r="39" spans="2:8" ht="14.25" customHeight="1" x14ac:dyDescent="0.25">
      <c r="B39" s="164">
        <v>24</v>
      </c>
      <c r="C39" s="33">
        <f t="shared" si="0"/>
        <v>348.23312454358336</v>
      </c>
      <c r="D39" s="33">
        <f t="shared" si="1"/>
        <v>138.66231638317663</v>
      </c>
      <c r="E39" s="33">
        <f t="shared" si="2"/>
        <v>486.89544092675999</v>
      </c>
      <c r="F39" s="33">
        <f t="shared" si="3"/>
        <v>14889.384060420882</v>
      </c>
      <c r="G39" s="11">
        <f>SUM(C28:C39)</f>
        <v>3977.6404349759978</v>
      </c>
      <c r="H39" s="166">
        <f>SUM(D28:D39)</f>
        <v>1865.1048561451223</v>
      </c>
    </row>
    <row r="40" spans="2:8" ht="14.25" customHeight="1" x14ac:dyDescent="0.25">
      <c r="B40" s="164">
        <v>25</v>
      </c>
      <c r="C40" s="33">
        <f t="shared" si="0"/>
        <v>351.40204597692997</v>
      </c>
      <c r="D40" s="33">
        <f t="shared" si="1"/>
        <v>135.49339494983002</v>
      </c>
      <c r="E40" s="33">
        <f t="shared" si="2"/>
        <v>486.89544092675999</v>
      </c>
      <c r="F40" s="33">
        <f t="shared" si="3"/>
        <v>14537.982014443951</v>
      </c>
      <c r="G40" s="2"/>
      <c r="H40" s="165"/>
    </row>
    <row r="41" spans="2:8" ht="14.25" customHeight="1" x14ac:dyDescent="0.25">
      <c r="B41" s="164">
        <v>26</v>
      </c>
      <c r="C41" s="33">
        <f t="shared" si="0"/>
        <v>354.59980459532005</v>
      </c>
      <c r="D41" s="33">
        <f t="shared" si="1"/>
        <v>132.29563633143997</v>
      </c>
      <c r="E41" s="33">
        <f t="shared" si="2"/>
        <v>486.89544092675999</v>
      </c>
      <c r="F41" s="33">
        <f t="shared" si="3"/>
        <v>14183.382209848631</v>
      </c>
      <c r="G41" s="2"/>
      <c r="H41" s="165"/>
    </row>
    <row r="42" spans="2:8" ht="14.25" customHeight="1" x14ac:dyDescent="0.25">
      <c r="B42" s="164">
        <v>27</v>
      </c>
      <c r="C42" s="33">
        <f t="shared" si="0"/>
        <v>357.82666281713745</v>
      </c>
      <c r="D42" s="33">
        <f t="shared" si="1"/>
        <v>129.06877810962254</v>
      </c>
      <c r="E42" s="33">
        <f t="shared" si="2"/>
        <v>486.89544092675999</v>
      </c>
      <c r="F42" s="33">
        <f t="shared" si="3"/>
        <v>13825.555547031494</v>
      </c>
      <c r="G42" s="2"/>
      <c r="H42" s="165"/>
    </row>
    <row r="43" spans="2:8" ht="14.25" customHeight="1" x14ac:dyDescent="0.25">
      <c r="B43" s="164">
        <v>28</v>
      </c>
      <c r="C43" s="33">
        <f t="shared" si="0"/>
        <v>361.08288544877337</v>
      </c>
      <c r="D43" s="33">
        <f t="shared" si="1"/>
        <v>125.81255547798661</v>
      </c>
      <c r="E43" s="33">
        <f t="shared" si="2"/>
        <v>486.89544092675999</v>
      </c>
      <c r="F43" s="33">
        <f t="shared" si="3"/>
        <v>13464.47266158272</v>
      </c>
      <c r="G43" s="2"/>
      <c r="H43" s="165"/>
    </row>
    <row r="44" spans="2:8" ht="14.25" customHeight="1" x14ac:dyDescent="0.25">
      <c r="B44" s="164">
        <v>29</v>
      </c>
      <c r="C44" s="33">
        <f t="shared" si="0"/>
        <v>364.36873970635725</v>
      </c>
      <c r="D44" s="33">
        <f t="shared" si="1"/>
        <v>122.52670122040276</v>
      </c>
      <c r="E44" s="33">
        <f t="shared" si="2"/>
        <v>486.89544092675999</v>
      </c>
      <c r="F44" s="33">
        <f t="shared" si="3"/>
        <v>13100.103921876364</v>
      </c>
      <c r="G44" s="2"/>
      <c r="H44" s="165"/>
    </row>
    <row r="45" spans="2:8" ht="14.25" customHeight="1" x14ac:dyDescent="0.25">
      <c r="B45" s="164">
        <v>30</v>
      </c>
      <c r="C45" s="33">
        <f t="shared" si="0"/>
        <v>367.68449523768504</v>
      </c>
      <c r="D45" s="33">
        <f t="shared" si="1"/>
        <v>119.21094568907492</v>
      </c>
      <c r="E45" s="33">
        <f t="shared" si="2"/>
        <v>486.89544092675999</v>
      </c>
      <c r="F45" s="33">
        <f t="shared" si="3"/>
        <v>12732.419426638678</v>
      </c>
      <c r="G45" s="2"/>
      <c r="H45" s="165"/>
    </row>
    <row r="46" spans="2:8" ht="14.25" customHeight="1" x14ac:dyDescent="0.25">
      <c r="B46" s="164">
        <v>31</v>
      </c>
      <c r="C46" s="33">
        <f t="shared" si="0"/>
        <v>371.03042414434799</v>
      </c>
      <c r="D46" s="33">
        <f t="shared" si="1"/>
        <v>115.86501678241198</v>
      </c>
      <c r="E46" s="33">
        <f t="shared" si="2"/>
        <v>486.89544092675999</v>
      </c>
      <c r="F46" s="33">
        <f t="shared" si="3"/>
        <v>12361.38900249433</v>
      </c>
      <c r="G46" s="2"/>
      <c r="H46" s="165"/>
    </row>
    <row r="47" spans="2:8" ht="14.25" customHeight="1" x14ac:dyDescent="0.25">
      <c r="B47" s="164">
        <v>32</v>
      </c>
      <c r="C47" s="33">
        <f t="shared" si="0"/>
        <v>374.40680100406155</v>
      </c>
      <c r="D47" s="33">
        <f t="shared" si="1"/>
        <v>112.48863992269841</v>
      </c>
      <c r="E47" s="33">
        <f t="shared" si="2"/>
        <v>486.89544092675999</v>
      </c>
      <c r="F47" s="33">
        <f t="shared" si="3"/>
        <v>11986.982201490269</v>
      </c>
      <c r="G47" s="2"/>
      <c r="H47" s="165"/>
    </row>
    <row r="48" spans="2:8" ht="14.25" customHeight="1" x14ac:dyDescent="0.25">
      <c r="B48" s="164">
        <v>33</v>
      </c>
      <c r="C48" s="33">
        <f t="shared" si="0"/>
        <v>377.81390289319853</v>
      </c>
      <c r="D48" s="33">
        <f t="shared" si="1"/>
        <v>109.08153803356146</v>
      </c>
      <c r="E48" s="33">
        <f t="shared" si="2"/>
        <v>486.89544092675999</v>
      </c>
      <c r="F48" s="33">
        <f t="shared" si="3"/>
        <v>11609.168298597071</v>
      </c>
      <c r="G48" s="2"/>
      <c r="H48" s="165"/>
    </row>
    <row r="49" spans="2:8" ht="14.25" customHeight="1" x14ac:dyDescent="0.25">
      <c r="B49" s="164">
        <v>34</v>
      </c>
      <c r="C49" s="33">
        <f t="shared" si="0"/>
        <v>381.25200940952664</v>
      </c>
      <c r="D49" s="33">
        <f t="shared" si="1"/>
        <v>105.64343151723335</v>
      </c>
      <c r="E49" s="33">
        <f t="shared" si="2"/>
        <v>486.89544092675999</v>
      </c>
      <c r="F49" s="33">
        <f t="shared" si="3"/>
        <v>11227.916289187544</v>
      </c>
      <c r="G49" s="2"/>
      <c r="H49" s="165"/>
    </row>
    <row r="50" spans="2:8" ht="14.25" customHeight="1" x14ac:dyDescent="0.25">
      <c r="B50" s="164">
        <v>35</v>
      </c>
      <c r="C50" s="33">
        <f t="shared" si="0"/>
        <v>384.7214026951533</v>
      </c>
      <c r="D50" s="33">
        <f t="shared" si="1"/>
        <v>102.17403823160666</v>
      </c>
      <c r="E50" s="33">
        <f t="shared" si="2"/>
        <v>486.89544092675999</v>
      </c>
      <c r="F50" s="33">
        <f t="shared" si="3"/>
        <v>10843.194886492391</v>
      </c>
      <c r="G50" s="2"/>
      <c r="H50" s="165"/>
    </row>
    <row r="51" spans="2:8" ht="14.25" customHeight="1" x14ac:dyDescent="0.25">
      <c r="B51" s="164">
        <v>36</v>
      </c>
      <c r="C51" s="33">
        <f t="shared" si="0"/>
        <v>388.22236745967922</v>
      </c>
      <c r="D51" s="33">
        <f t="shared" si="1"/>
        <v>98.673073467080755</v>
      </c>
      <c r="E51" s="33">
        <f t="shared" si="2"/>
        <v>486.89544092675999</v>
      </c>
      <c r="F51" s="33">
        <f t="shared" si="3"/>
        <v>10454.972519032712</v>
      </c>
      <c r="G51" s="11">
        <f>SUM(C40:C51)</f>
        <v>4434.4115413881709</v>
      </c>
      <c r="H51" s="166">
        <f>SUM(D40:D51)</f>
        <v>1408.3337497329492</v>
      </c>
    </row>
    <row r="52" spans="2:8" ht="14.25" customHeight="1" x14ac:dyDescent="0.25">
      <c r="B52" s="164">
        <v>37</v>
      </c>
      <c r="C52" s="33">
        <f t="shared" si="0"/>
        <v>391.75519100356229</v>
      </c>
      <c r="D52" s="33">
        <f t="shared" si="1"/>
        <v>95.140249923197686</v>
      </c>
      <c r="E52" s="33">
        <f t="shared" si="2"/>
        <v>486.89544092675999</v>
      </c>
      <c r="F52" s="33">
        <f t="shared" si="3"/>
        <v>10063.21732802915</v>
      </c>
      <c r="G52" s="2"/>
      <c r="H52" s="165"/>
    </row>
    <row r="53" spans="2:8" ht="14.25" customHeight="1" x14ac:dyDescent="0.25">
      <c r="B53" s="164">
        <v>38</v>
      </c>
      <c r="C53" s="33">
        <f t="shared" si="0"/>
        <v>395.32016324169473</v>
      </c>
      <c r="D53" s="33">
        <f t="shared" si="1"/>
        <v>91.575277685065274</v>
      </c>
      <c r="E53" s="33">
        <f t="shared" si="2"/>
        <v>486.89544092675999</v>
      </c>
      <c r="F53" s="33">
        <f t="shared" si="3"/>
        <v>9667.897164787455</v>
      </c>
      <c r="G53" s="2"/>
      <c r="H53" s="165"/>
    </row>
    <row r="54" spans="2:8" ht="14.25" customHeight="1" x14ac:dyDescent="0.25">
      <c r="B54" s="164">
        <v>39</v>
      </c>
      <c r="C54" s="33">
        <f t="shared" si="0"/>
        <v>398.91757672719416</v>
      </c>
      <c r="D54" s="33">
        <f t="shared" si="1"/>
        <v>87.977864199565843</v>
      </c>
      <c r="E54" s="33">
        <f t="shared" si="2"/>
        <v>486.89544092675999</v>
      </c>
      <c r="F54" s="33">
        <f t="shared" si="3"/>
        <v>9268.9795880602614</v>
      </c>
      <c r="G54" s="2"/>
      <c r="H54" s="165"/>
    </row>
    <row r="55" spans="2:8" ht="14.25" customHeight="1" x14ac:dyDescent="0.25">
      <c r="B55" s="164">
        <v>40</v>
      </c>
      <c r="C55" s="33">
        <f t="shared" si="0"/>
        <v>402.54772667541158</v>
      </c>
      <c r="D55" s="33">
        <f t="shared" si="1"/>
        <v>84.347714251348378</v>
      </c>
      <c r="E55" s="33">
        <f t="shared" si="2"/>
        <v>486.89544092675999</v>
      </c>
      <c r="F55" s="33">
        <f t="shared" si="3"/>
        <v>8866.43186138485</v>
      </c>
      <c r="G55" s="2"/>
      <c r="H55" s="165"/>
    </row>
    <row r="56" spans="2:8" ht="14.25" customHeight="1" x14ac:dyDescent="0.25">
      <c r="B56" s="164">
        <v>41</v>
      </c>
      <c r="C56" s="33">
        <f t="shared" si="0"/>
        <v>406.21091098815782</v>
      </c>
      <c r="D56" s="33">
        <f t="shared" si="1"/>
        <v>80.68452993860214</v>
      </c>
      <c r="E56" s="33">
        <f t="shared" si="2"/>
        <v>486.89544092675999</v>
      </c>
      <c r="F56" s="33">
        <f t="shared" si="3"/>
        <v>8460.2209503966915</v>
      </c>
      <c r="G56" s="2"/>
      <c r="H56" s="165"/>
    </row>
    <row r="57" spans="2:8" ht="14.25" customHeight="1" x14ac:dyDescent="0.25">
      <c r="B57" s="164">
        <v>42</v>
      </c>
      <c r="C57" s="33">
        <f t="shared" si="0"/>
        <v>409.90743027815006</v>
      </c>
      <c r="D57" s="33">
        <f t="shared" si="1"/>
        <v>76.988010648609901</v>
      </c>
      <c r="E57" s="33">
        <f t="shared" si="2"/>
        <v>486.89544092675999</v>
      </c>
      <c r="F57" s="33">
        <f t="shared" si="3"/>
        <v>8050.3135201185414</v>
      </c>
      <c r="G57" s="2"/>
      <c r="H57" s="165"/>
    </row>
    <row r="58" spans="2:8" ht="14.25" customHeight="1" x14ac:dyDescent="0.25">
      <c r="B58" s="164">
        <v>43</v>
      </c>
      <c r="C58" s="33">
        <f t="shared" si="0"/>
        <v>413.63758789368126</v>
      </c>
      <c r="D58" s="33">
        <f t="shared" si="1"/>
        <v>73.257853033078732</v>
      </c>
      <c r="E58" s="33">
        <f t="shared" si="2"/>
        <v>486.89544092675999</v>
      </c>
      <c r="F58" s="33">
        <f t="shared" si="3"/>
        <v>7636.6759322248599</v>
      </c>
      <c r="G58" s="2"/>
      <c r="H58" s="165"/>
    </row>
    <row r="59" spans="2:8" ht="14.25" customHeight="1" x14ac:dyDescent="0.25">
      <c r="B59" s="164">
        <v>44</v>
      </c>
      <c r="C59" s="33">
        <f t="shared" si="0"/>
        <v>417.40168994351376</v>
      </c>
      <c r="D59" s="33">
        <f t="shared" si="1"/>
        <v>69.49375098324623</v>
      </c>
      <c r="E59" s="33">
        <f t="shared" si="2"/>
        <v>486.89544092675999</v>
      </c>
      <c r="F59" s="33">
        <f t="shared" si="3"/>
        <v>7219.2742422813462</v>
      </c>
      <c r="G59" s="2"/>
      <c r="H59" s="165"/>
    </row>
    <row r="60" spans="2:8" ht="14.25" customHeight="1" x14ac:dyDescent="0.25">
      <c r="B60" s="164">
        <v>45</v>
      </c>
      <c r="C60" s="33">
        <f t="shared" si="0"/>
        <v>421.20004532199971</v>
      </c>
      <c r="D60" s="33">
        <f t="shared" si="1"/>
        <v>65.69539560476025</v>
      </c>
      <c r="E60" s="33">
        <f t="shared" si="2"/>
        <v>486.89544092675999</v>
      </c>
      <c r="F60" s="33">
        <f t="shared" si="3"/>
        <v>6798.0741969593464</v>
      </c>
      <c r="G60" s="2"/>
      <c r="H60" s="165"/>
    </row>
    <row r="61" spans="2:8" ht="14.25" customHeight="1" x14ac:dyDescent="0.25">
      <c r="B61" s="164">
        <v>46</v>
      </c>
      <c r="C61" s="33">
        <f t="shared" si="0"/>
        <v>425.03296573442992</v>
      </c>
      <c r="D61" s="33">
        <f t="shared" si="1"/>
        <v>61.862475192330052</v>
      </c>
      <c r="E61" s="33">
        <f t="shared" si="2"/>
        <v>486.89544092675999</v>
      </c>
      <c r="F61" s="33">
        <f t="shared" si="3"/>
        <v>6373.0412312249164</v>
      </c>
      <c r="G61" s="2"/>
      <c r="H61" s="165"/>
    </row>
    <row r="62" spans="2:8" ht="14.25" customHeight="1" x14ac:dyDescent="0.25">
      <c r="B62" s="164">
        <v>47</v>
      </c>
      <c r="C62" s="33">
        <f t="shared" si="0"/>
        <v>428.90076572261324</v>
      </c>
      <c r="D62" s="33">
        <f t="shared" si="1"/>
        <v>57.994675204146745</v>
      </c>
      <c r="E62" s="33">
        <f t="shared" si="2"/>
        <v>486.89544092675999</v>
      </c>
      <c r="F62" s="33">
        <f t="shared" si="3"/>
        <v>5944.1404655023034</v>
      </c>
      <c r="G62" s="2"/>
      <c r="H62" s="165"/>
    </row>
    <row r="63" spans="2:8" ht="14.25" customHeight="1" x14ac:dyDescent="0.25">
      <c r="B63" s="164">
        <v>48</v>
      </c>
      <c r="C63" s="33">
        <f t="shared" si="0"/>
        <v>432.80376269068904</v>
      </c>
      <c r="D63" s="33">
        <f t="shared" si="1"/>
        <v>54.091678236070962</v>
      </c>
      <c r="E63" s="33">
        <f t="shared" si="2"/>
        <v>486.89544092675999</v>
      </c>
      <c r="F63" s="33">
        <f t="shared" si="3"/>
        <v>5511.3367028116145</v>
      </c>
      <c r="G63" s="11">
        <f>SUM(C52:C63)</f>
        <v>4943.6358162210972</v>
      </c>
      <c r="H63" s="166">
        <f>SUM(D52:D63)</f>
        <v>899.10947490002218</v>
      </c>
    </row>
    <row r="64" spans="2:8" ht="14.25" customHeight="1" x14ac:dyDescent="0.25">
      <c r="B64" s="164">
        <v>49</v>
      </c>
      <c r="C64" s="33">
        <f t="shared" si="0"/>
        <v>436.74227693117427</v>
      </c>
      <c r="D64" s="33">
        <f t="shared" si="1"/>
        <v>50.153163995585693</v>
      </c>
      <c r="E64" s="33">
        <f t="shared" si="2"/>
        <v>486.89544092675999</v>
      </c>
      <c r="F64" s="33">
        <f t="shared" si="3"/>
        <v>5074.5944258804402</v>
      </c>
      <c r="G64" s="2"/>
      <c r="H64" s="165"/>
    </row>
    <row r="65" spans="2:8" ht="14.25" customHeight="1" x14ac:dyDescent="0.25">
      <c r="B65" s="164">
        <v>50</v>
      </c>
      <c r="C65" s="33">
        <f t="shared" si="0"/>
        <v>440.71663165124801</v>
      </c>
      <c r="D65" s="33">
        <f t="shared" si="1"/>
        <v>46.178809275512009</v>
      </c>
      <c r="E65" s="33">
        <f t="shared" si="2"/>
        <v>486.89544092675999</v>
      </c>
      <c r="F65" s="33">
        <f t="shared" si="3"/>
        <v>4633.8777942291927</v>
      </c>
      <c r="G65" s="2"/>
      <c r="H65" s="165"/>
    </row>
    <row r="66" spans="2:8" ht="14.25" customHeight="1" x14ac:dyDescent="0.25">
      <c r="B66" s="164">
        <v>51</v>
      </c>
      <c r="C66" s="33">
        <f t="shared" si="0"/>
        <v>444.72715299927432</v>
      </c>
      <c r="D66" s="33">
        <f t="shared" si="1"/>
        <v>42.168287927485657</v>
      </c>
      <c r="E66" s="33">
        <f t="shared" si="2"/>
        <v>486.89544092675999</v>
      </c>
      <c r="F66" s="33">
        <f t="shared" si="3"/>
        <v>4189.1506412299186</v>
      </c>
      <c r="G66" s="2"/>
      <c r="H66" s="165"/>
    </row>
    <row r="67" spans="2:8" ht="14.25" customHeight="1" x14ac:dyDescent="0.25">
      <c r="B67" s="164">
        <v>52</v>
      </c>
      <c r="C67" s="33">
        <f t="shared" si="0"/>
        <v>448.77417009156773</v>
      </c>
      <c r="D67" s="33">
        <f t="shared" si="1"/>
        <v>38.121270835192263</v>
      </c>
      <c r="E67" s="33">
        <f t="shared" si="2"/>
        <v>486.89544092675999</v>
      </c>
      <c r="F67" s="33">
        <f t="shared" si="3"/>
        <v>3740.376471138351</v>
      </c>
      <c r="G67" s="2"/>
      <c r="H67" s="165"/>
    </row>
    <row r="68" spans="2:8" ht="15.75" x14ac:dyDescent="0.25">
      <c r="B68" s="164">
        <v>53</v>
      </c>
      <c r="C68" s="33">
        <f t="shared" si="0"/>
        <v>452.85801503940098</v>
      </c>
      <c r="D68" s="33">
        <f t="shared" si="1"/>
        <v>34.037425887358992</v>
      </c>
      <c r="E68" s="33">
        <f t="shared" si="2"/>
        <v>486.89544092675999</v>
      </c>
      <c r="F68" s="33">
        <f t="shared" si="3"/>
        <v>3287.5184560989501</v>
      </c>
      <c r="G68" s="2"/>
      <c r="H68" s="165"/>
    </row>
    <row r="69" spans="2:8" ht="15.75" x14ac:dyDescent="0.25">
      <c r="B69" s="164">
        <v>54</v>
      </c>
      <c r="C69" s="33">
        <f t="shared" si="0"/>
        <v>456.97902297625956</v>
      </c>
      <c r="D69" s="33">
        <f t="shared" si="1"/>
        <v>29.916417950500445</v>
      </c>
      <c r="E69" s="33">
        <f t="shared" si="2"/>
        <v>486.89544092675999</v>
      </c>
      <c r="F69" s="33">
        <f t="shared" si="3"/>
        <v>2830.5394331226908</v>
      </c>
      <c r="G69" s="2"/>
      <c r="H69" s="165"/>
    </row>
    <row r="70" spans="2:8" ht="15.75" x14ac:dyDescent="0.25">
      <c r="B70" s="164">
        <v>55</v>
      </c>
      <c r="C70" s="33">
        <f t="shared" si="0"/>
        <v>461.13753208534348</v>
      </c>
      <c r="D70" s="33">
        <f t="shared" si="1"/>
        <v>25.757908841416487</v>
      </c>
      <c r="E70" s="33">
        <f t="shared" si="2"/>
        <v>486.89544092675999</v>
      </c>
      <c r="F70" s="33">
        <f t="shared" si="3"/>
        <v>2369.4019010373472</v>
      </c>
      <c r="G70" s="2"/>
      <c r="H70" s="165"/>
    </row>
    <row r="71" spans="2:8" ht="15.75" x14ac:dyDescent="0.25">
      <c r="B71" s="164">
        <v>56</v>
      </c>
      <c r="C71" s="33">
        <f t="shared" si="0"/>
        <v>465.33388362732012</v>
      </c>
      <c r="D71" s="33">
        <f t="shared" si="1"/>
        <v>21.561557299439862</v>
      </c>
      <c r="E71" s="33">
        <f t="shared" si="2"/>
        <v>486.89544092675999</v>
      </c>
      <c r="F71" s="33">
        <f t="shared" si="3"/>
        <v>1904.0680174100271</v>
      </c>
      <c r="G71" s="2"/>
      <c r="H71" s="165"/>
    </row>
    <row r="72" spans="2:8" ht="15.75" x14ac:dyDescent="0.25">
      <c r="B72" s="164">
        <v>57</v>
      </c>
      <c r="C72" s="33">
        <f t="shared" si="0"/>
        <v>469.56842196832872</v>
      </c>
      <c r="D72" s="33">
        <f t="shared" si="1"/>
        <v>17.327018958431246</v>
      </c>
      <c r="E72" s="33">
        <f t="shared" si="2"/>
        <v>486.89544092675999</v>
      </c>
      <c r="F72" s="33">
        <f t="shared" si="3"/>
        <v>1434.4995954416984</v>
      </c>
      <c r="G72" s="2"/>
      <c r="H72" s="165"/>
    </row>
    <row r="73" spans="2:8" ht="15.75" x14ac:dyDescent="0.25">
      <c r="B73" s="164">
        <v>58</v>
      </c>
      <c r="C73" s="33">
        <f t="shared" si="0"/>
        <v>473.84149460824051</v>
      </c>
      <c r="D73" s="33">
        <f t="shared" si="1"/>
        <v>13.053946318519456</v>
      </c>
      <c r="E73" s="33">
        <f t="shared" si="2"/>
        <v>486.89544092675999</v>
      </c>
      <c r="F73" s="33">
        <f t="shared" si="3"/>
        <v>960.65810083345787</v>
      </c>
      <c r="G73" s="2"/>
      <c r="H73" s="165"/>
    </row>
    <row r="74" spans="2:8" ht="15.75" x14ac:dyDescent="0.25">
      <c r="B74" s="164">
        <v>59</v>
      </c>
      <c r="C74" s="33">
        <f t="shared" si="0"/>
        <v>478.1534522091755</v>
      </c>
      <c r="D74" s="33">
        <f t="shared" si="1"/>
        <v>8.7419887175844675</v>
      </c>
      <c r="E74" s="33">
        <f t="shared" si="2"/>
        <v>486.89544092675999</v>
      </c>
      <c r="F74" s="33">
        <f t="shared" si="3"/>
        <v>482.50464862428237</v>
      </c>
      <c r="G74" s="2"/>
      <c r="H74" s="165"/>
    </row>
    <row r="75" spans="2:8" ht="16.5" thickBot="1" x14ac:dyDescent="0.3">
      <c r="B75" s="167">
        <v>60</v>
      </c>
      <c r="C75" s="168">
        <f t="shared" si="0"/>
        <v>482.50464862427901</v>
      </c>
      <c r="D75" s="168">
        <f t="shared" si="1"/>
        <v>4.3907923024809694</v>
      </c>
      <c r="E75" s="168">
        <f t="shared" si="2"/>
        <v>486.89544092675999</v>
      </c>
      <c r="F75" s="168">
        <f t="shared" si="3"/>
        <v>3.3537617127876729E-12</v>
      </c>
      <c r="G75" s="169">
        <f>SUM(C64:C75)</f>
        <v>5511.3367028116118</v>
      </c>
      <c r="H75" s="170">
        <f>SUM(D64:D75)</f>
        <v>331.40858830950765</v>
      </c>
    </row>
  </sheetData>
  <mergeCells count="1">
    <mergeCell ref="B2:H2"/>
  </mergeCells>
  <pageMargins left="0.51181102362204722" right="0.51181102362204722" top="0.74803149606299213" bottom="0.74803149606299213" header="0.70866141732283472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DATOS DE LA EMPRESA</vt:lpstr>
      <vt:lpstr>DESCRIPCION DEL PRODUCTO</vt:lpstr>
      <vt:lpstr>DATOS Y SUPUESTOS </vt:lpstr>
      <vt:lpstr>ACTIVO INTANGIBLE </vt:lpstr>
      <vt:lpstr>ROL DE PAGOS </vt:lpstr>
      <vt:lpstr>M. CAPITAL DE TRABAJO </vt:lpstr>
      <vt:lpstr>M. INVERSIÓN</vt:lpstr>
      <vt:lpstr>M. DE FINANCIAMIENTO</vt:lpstr>
      <vt:lpstr>TABLA DE AMORTIZACIÓN </vt:lpstr>
      <vt:lpstr>MATRIZ DE INGRESO </vt:lpstr>
      <vt:lpstr>MATRIZ DE EGRESO </vt:lpstr>
      <vt:lpstr>DEPRECIACIONES</vt:lpstr>
      <vt:lpstr>BALANCE GENRAL </vt:lpstr>
      <vt:lpstr>ESTADO DE RESULTADO </vt:lpstr>
      <vt:lpstr>FLUJO NETO DEL EFECTIVO </vt:lpstr>
      <vt:lpstr>WAC</vt:lpstr>
      <vt:lpstr>INDICADORES ECONOMICOS</vt:lpstr>
      <vt:lpstr>INDICADORES FINANCIEROS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2016-11-19T21:17:29Z</cp:lastPrinted>
  <dcterms:created xsi:type="dcterms:W3CDTF">2016-11-19T19:43:56Z</dcterms:created>
  <dcterms:modified xsi:type="dcterms:W3CDTF">2017-02-12T00:30:43Z</dcterms:modified>
</cp:coreProperties>
</file>