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EJERCICIO 9.3" sheetId="1" r:id="rId1"/>
    <sheet name="EJERCICIO 9.4" sheetId="2" r:id="rId2"/>
  </sheets>
  <calcPr calcId="145621"/>
</workbook>
</file>

<file path=xl/calcChain.xml><?xml version="1.0" encoding="utf-8"?>
<calcChain xmlns="http://schemas.openxmlformats.org/spreadsheetml/2006/main">
  <c r="D65" i="1" l="1"/>
  <c r="D64" i="1"/>
  <c r="D63" i="1"/>
  <c r="J66" i="2" l="1"/>
  <c r="F66" i="2"/>
  <c r="J63" i="2"/>
  <c r="F63" i="2"/>
  <c r="J62" i="2"/>
  <c r="F62" i="2"/>
  <c r="J61" i="2"/>
  <c r="J60" i="2"/>
  <c r="F64" i="2" l="1"/>
  <c r="F87" i="2" l="1"/>
  <c r="E71" i="2" l="1"/>
  <c r="E72" i="2" s="1"/>
  <c r="J70" i="2"/>
  <c r="G64" i="2"/>
  <c r="G69" i="2" s="1"/>
  <c r="H64" i="2"/>
  <c r="I64" i="2"/>
  <c r="I69" i="2" s="1"/>
  <c r="J64" i="2"/>
  <c r="F69" i="2"/>
  <c r="G61" i="2"/>
  <c r="H61" i="2"/>
  <c r="I61" i="2"/>
  <c r="F61" i="2"/>
  <c r="J59" i="2"/>
  <c r="I59" i="2"/>
  <c r="H59" i="2"/>
  <c r="G59" i="2"/>
  <c r="F59" i="2"/>
  <c r="J58" i="2"/>
  <c r="I58" i="2"/>
  <c r="H58" i="2"/>
  <c r="G58" i="2"/>
  <c r="F58" i="2"/>
  <c r="G56" i="2"/>
  <c r="H56" i="2"/>
  <c r="I56" i="2"/>
  <c r="J56" i="2"/>
  <c r="F56" i="2"/>
  <c r="J55" i="2"/>
  <c r="I55" i="2"/>
  <c r="H55" i="2"/>
  <c r="G55" i="2"/>
  <c r="F55" i="2"/>
  <c r="J54" i="2"/>
  <c r="I54" i="2"/>
  <c r="H54" i="2"/>
  <c r="G54" i="2"/>
  <c r="F54" i="2"/>
  <c r="J38" i="2"/>
  <c r="J40" i="2" s="1"/>
  <c r="G51" i="2"/>
  <c r="H51" i="2"/>
  <c r="I51" i="2"/>
  <c r="J51" i="2"/>
  <c r="F51" i="2"/>
  <c r="F52" i="2" s="1"/>
  <c r="J50" i="2"/>
  <c r="I50" i="2"/>
  <c r="H50" i="2"/>
  <c r="G50" i="2"/>
  <c r="F50" i="2"/>
  <c r="J69" i="2"/>
  <c r="H69" i="2"/>
  <c r="J52" i="2"/>
  <c r="G62" i="2" l="1"/>
  <c r="G63" i="2" s="1"/>
  <c r="G66" i="2" s="1"/>
  <c r="I62" i="2"/>
  <c r="I63" i="2" s="1"/>
  <c r="I66" i="2" s="1"/>
  <c r="H62" i="2"/>
  <c r="H63" i="2" s="1"/>
  <c r="H66" i="2" s="1"/>
  <c r="I52" i="2"/>
  <c r="H52" i="2"/>
  <c r="G52" i="2"/>
  <c r="F67" i="2" l="1"/>
  <c r="F68" i="2" s="1"/>
  <c r="F71" i="2" s="1"/>
  <c r="F72" i="2" s="1"/>
  <c r="G67" i="2"/>
  <c r="G68" i="2" s="1"/>
  <c r="G71" i="2" s="1"/>
  <c r="G72" i="2" s="1"/>
  <c r="H67" i="2"/>
  <c r="H68" i="2" s="1"/>
  <c r="H71" i="2" s="1"/>
  <c r="H72" i="2" s="1"/>
  <c r="F84" i="2" s="1"/>
  <c r="I67" i="2"/>
  <c r="I68" i="2" s="1"/>
  <c r="I71" i="2" s="1"/>
  <c r="I72" i="2" s="1"/>
  <c r="J67" i="2"/>
  <c r="J68" i="2" s="1"/>
  <c r="J71" i="2" s="1"/>
  <c r="N72" i="1"/>
  <c r="O72" i="1"/>
  <c r="P72" i="1"/>
  <c r="Q72" i="1"/>
  <c r="M72" i="1"/>
  <c r="E84" i="2" l="1"/>
  <c r="E85" i="2" s="1"/>
  <c r="E86" i="2" s="1"/>
  <c r="D77" i="2"/>
  <c r="J72" i="2"/>
  <c r="D74" i="2" s="1"/>
  <c r="N50" i="1"/>
  <c r="N51" i="1" s="1"/>
  <c r="O50" i="1"/>
  <c r="P50" i="1"/>
  <c r="P51" i="1" s="1"/>
  <c r="Q50" i="1"/>
  <c r="M50" i="1"/>
  <c r="M51" i="1" s="1"/>
  <c r="O41" i="1"/>
  <c r="L72" i="1" s="1"/>
  <c r="M78" i="1" s="1"/>
  <c r="O40" i="1"/>
  <c r="L50" i="1" s="1"/>
  <c r="Q73" i="1"/>
  <c r="P73" i="1"/>
  <c r="O73" i="1"/>
  <c r="N73" i="1"/>
  <c r="M73" i="1"/>
  <c r="O51" i="1"/>
  <c r="Q51" i="1"/>
  <c r="E88" i="1"/>
  <c r="E73" i="1"/>
  <c r="G72" i="1"/>
  <c r="G73" i="1" s="1"/>
  <c r="E85" i="1" s="1"/>
  <c r="F72" i="1"/>
  <c r="F73" i="1" s="1"/>
  <c r="E72" i="1"/>
  <c r="D72" i="1"/>
  <c r="D73" i="1" s="1"/>
  <c r="C72" i="1"/>
  <c r="C73" i="1" s="1"/>
  <c r="E66" i="1"/>
  <c r="N63" i="1" l="1"/>
  <c r="N85" i="1"/>
  <c r="D80" i="2"/>
  <c r="D81" i="2" s="1"/>
  <c r="D75" i="2"/>
  <c r="D85" i="1"/>
  <c r="C75" i="1"/>
  <c r="M54" i="1"/>
  <c r="M53" i="1"/>
  <c r="M59" i="1" s="1"/>
  <c r="M60" i="1" s="1"/>
  <c r="M75" i="1"/>
  <c r="M81" i="1" s="1"/>
  <c r="M82" i="1" s="1"/>
  <c r="M56" i="1"/>
  <c r="M76" i="1"/>
  <c r="C51" i="1" l="1"/>
  <c r="G50" i="1"/>
  <c r="G51" i="1" s="1"/>
  <c r="E63" i="1" s="1"/>
  <c r="F50" i="1"/>
  <c r="F51" i="1" s="1"/>
  <c r="E50" i="1"/>
  <c r="E51" i="1" s="1"/>
  <c r="D50" i="1"/>
  <c r="D51" i="1" s="1"/>
  <c r="C50" i="1"/>
  <c r="E41" i="1"/>
  <c r="B72" i="1" s="1"/>
  <c r="C78" i="1" s="1"/>
  <c r="E40" i="1"/>
  <c r="B50" i="1" s="1"/>
  <c r="C56" i="1" l="1"/>
  <c r="C53" i="1"/>
  <c r="C59" i="1" s="1"/>
  <c r="C60" i="1" s="1"/>
  <c r="C76" i="1"/>
  <c r="D86" i="1"/>
  <c r="D87" i="1" s="1"/>
  <c r="C81" i="1"/>
  <c r="C82" i="1" s="1"/>
  <c r="C54" i="1"/>
</calcChain>
</file>

<file path=xl/sharedStrings.xml><?xml version="1.0" encoding="utf-8"?>
<sst xmlns="http://schemas.openxmlformats.org/spreadsheetml/2006/main" count="200" uniqueCount="122">
  <si>
    <t xml:space="preserve"> esta institución, y desea invertir parate de sus ahorros en acciones de cualquier empresa.</t>
  </si>
  <si>
    <t xml:space="preserve">El señor David Margáin Sada , director de la casa de Bolsa ancomer, ha recomendado invertir en la </t>
  </si>
  <si>
    <t>siguientes empresas que han emitido acciones:</t>
  </si>
  <si>
    <t>1. 500 acciones de la compañía Zigma con un valor nominal de $100 cuyo valor de mercado es de $200.</t>
  </si>
  <si>
    <t>2. 500 acciones de la compañía Beta con un valor nominal de $50 cuyo valor de mercado es de $100.</t>
  </si>
  <si>
    <t>El señor Margáinn Sada ha pronosticado los posibles dividendos durante los proximos cinco años.</t>
  </si>
  <si>
    <t>ZIGMA</t>
  </si>
  <si>
    <t>BETA</t>
  </si>
  <si>
    <t>La venta de las acciones de Zigma en el quinto año proporciona de $10 por acción. La venta de las acciones</t>
  </si>
  <si>
    <t xml:space="preserve">de Beta en el quinto año proporciona una ganacia de $5 por acción. </t>
  </si>
  <si>
    <t>Suponga una tasa de impuesto sobre la renta de 38% por ciento.</t>
  </si>
  <si>
    <t>Se pide :</t>
  </si>
  <si>
    <t>20% como tasa de retorno.</t>
  </si>
  <si>
    <t>por los tres métodos y escoja la mejor opción.</t>
  </si>
  <si>
    <t>EJECICIO 9.3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</si>
  <si>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Periodo de recuperacion 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</si>
  <si>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Valor presente neto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</si>
  <si>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Tasa interna de rendimiento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</si>
  <si>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Suponga que existen posibilidades de invertir en ambos proyectos, ¿seía conveniente hacerlo ?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</si>
  <si>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. Suponga que solo puede invertir en un proyecto de inversión, ¿ cual escogería?. El señor Jiménez pide como mínimo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</si>
  <si>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Suponga que el valor de mercado de las acciones para Zigma es de $250 y para Beta es de $165. Evalúe cada alternativa.</t>
    </r>
  </si>
  <si>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. Suponga el pronóstico de dividendos para Zigma es de $20000 para cada año, y de $2000 para Beta evalue los proyectos </t>
    </r>
  </si>
  <si>
    <t>EJECICIO 9.4</t>
  </si>
  <si>
    <t xml:space="preserve">La compañía Fomesa produce latas para la industria cervecera. Tras realizar un pronóstico de ventas ha  </t>
  </si>
  <si>
    <t xml:space="preserve">considerado que para los próximos cinco años la capcidad de la planta no podrá satisfacer la demanda </t>
  </si>
  <si>
    <t xml:space="preserve">del mercado. Es necesario que se adquiera maquinaria y equipo, cuya inversion asciende a $8000000, lo </t>
  </si>
  <si>
    <t xml:space="preserve">que implica gastos adicionales capitalizables de $100000. Se espera un precio de venta durante los </t>
  </si>
  <si>
    <t>proximos años de $8 por lata, así como las siguieguientes circunstancias:</t>
  </si>
  <si>
    <t>Ventas incrementalespor año:</t>
  </si>
  <si>
    <t>AÑO</t>
  </si>
  <si>
    <t xml:space="preserve">UNIDADES </t>
  </si>
  <si>
    <t>Costos incrementales:</t>
  </si>
  <si>
    <t xml:space="preserve">COSTO </t>
  </si>
  <si>
    <t>Variables de prodcucción por unidad</t>
  </si>
  <si>
    <t>Variables de administración  por unidad</t>
  </si>
  <si>
    <t>Fijos de Fabricación</t>
  </si>
  <si>
    <t>Fijos de Administración</t>
  </si>
  <si>
    <t>SE PIDE:</t>
  </si>
  <si>
    <t xml:space="preserve">La nueva inversión se depreciará a una tasa de 20% sin valor de rescate. Se espera que el capital de trabajo necesario para </t>
  </si>
  <si>
    <t xml:space="preserve">este proyecto esté en proporción directa con las ventas. Actualmente existe una rotación de diez veces. La tasa conjunta </t>
  </si>
  <si>
    <t xml:space="preserve">de impuestos y el reparto de utilidades es de 38%, respectivamente. El costo de capital promedio ponderado es de 10%. </t>
  </si>
  <si>
    <t>Al final de su vida útil se espera un valor de rescate de $3000000</t>
  </si>
  <si>
    <t xml:space="preserve">1. Cálculos de la inversión </t>
  </si>
  <si>
    <t>2. Flujos netos de efectivo</t>
  </si>
  <si>
    <t>3. Periodo de recuperación y tasa de rendimiento contable.</t>
  </si>
  <si>
    <t xml:space="preserve">4. Valor presente neto y tasa interna de rendimiento </t>
  </si>
  <si>
    <t>5. El capital en trabajo invertido en el proyecto.</t>
  </si>
  <si>
    <t>VENTAS</t>
  </si>
  <si>
    <t>(-)</t>
  </si>
  <si>
    <t xml:space="preserve">COSTO VARIABLE </t>
  </si>
  <si>
    <t>(=)</t>
  </si>
  <si>
    <t>MARGEN DE CONTRIBUCIÓN</t>
  </si>
  <si>
    <t xml:space="preserve">COSTO FIJO </t>
  </si>
  <si>
    <t>UTILIDAD OPERATIVA</t>
  </si>
  <si>
    <t>Depreciaciones</t>
  </si>
  <si>
    <t>(+)</t>
  </si>
  <si>
    <t xml:space="preserve">U. ANTES DE  INTER. E IMP. </t>
  </si>
  <si>
    <t>U. DESPUES DE IMP.</t>
  </si>
  <si>
    <t>FNE</t>
  </si>
  <si>
    <t>RUBROS</t>
  </si>
  <si>
    <t xml:space="preserve">AÑOS </t>
  </si>
  <si>
    <t xml:space="preserve">CANTIDAD </t>
  </si>
  <si>
    <t xml:space="preserve">PRECIO </t>
  </si>
  <si>
    <t>BASE IMPONIBLE</t>
  </si>
  <si>
    <t>IMPUESTOS</t>
  </si>
  <si>
    <t>FNED</t>
  </si>
  <si>
    <t>TIR</t>
  </si>
  <si>
    <t xml:space="preserve">El ingeniero Jiménez trabaja en VECT. Tiene conocimiento de que existe una casa dde bolsa dentro de </t>
  </si>
  <si>
    <t xml:space="preserve">ACCIONES </t>
  </si>
  <si>
    <t>TMAR</t>
  </si>
  <si>
    <t>INVERSIÓN</t>
  </si>
  <si>
    <t xml:space="preserve">VALOR DE MERCADO </t>
  </si>
  <si>
    <t>AÑOS</t>
  </si>
  <si>
    <t xml:space="preserve">ZIGMA </t>
  </si>
  <si>
    <t>VA</t>
  </si>
  <si>
    <t>VAN</t>
  </si>
  <si>
    <t>RBC</t>
  </si>
  <si>
    <t>PAY BAC</t>
  </si>
  <si>
    <t xml:space="preserve">El proyecto es facible ya que nos arroja una ganacia adicional </t>
  </si>
  <si>
    <t xml:space="preserve">La TIR supera a la TMAR por tanto se espera  un rendimiento </t>
  </si>
  <si>
    <t>minimo requerido de 41%</t>
  </si>
  <si>
    <t xml:space="preserve"> El proyecto muestra una rentabilidad del 5, 29 %</t>
  </si>
  <si>
    <t xml:space="preserve">años </t>
  </si>
  <si>
    <t>meses</t>
  </si>
  <si>
    <t>dias</t>
  </si>
  <si>
    <t>Si seria conveniente invertir en los dos proyectos ya que los dos generan rentabilidad y se puede recuperar la inversion en el tiempo establecido.</t>
  </si>
  <si>
    <t>5. Suponga que solo puede invertir en un proyecto de inversión, ¿ cual escogería?. El señor Jiménez pide como mínimo</t>
  </si>
  <si>
    <t xml:space="preserve">4. Suponga que existen posibilidades de invertir en ambos proyectos. ¿Sería conveniente hacerlo?  </t>
  </si>
  <si>
    <t>Cualquiera de lo sods proyectos genera un rendimiento minimo requerido reflejado por una TIR del 41%</t>
  </si>
  <si>
    <t>El proyectono  es facible ya que nos arroja un valor menor que cero</t>
  </si>
  <si>
    <t>La TIR es menor que la  TMAR por tanto no es factible el proyecto</t>
  </si>
  <si>
    <t xml:space="preserve">El proyecto muetsra  pérdida del 15.77% es decir no es rentable </t>
  </si>
  <si>
    <t>NO se recupera la inversion en los 5 años.</t>
  </si>
  <si>
    <t xml:space="preserve">El proyecto muetsra  pérdida del 36,19% es decir no es rentable </t>
  </si>
  <si>
    <t>6. Suponga que el valor de mercado de las acciones para Zigma es de $250 y para Beta es de $165. Evalúe cada alternativa.</t>
  </si>
  <si>
    <t>En este escenario podemos observar al subir el valor de mercado de las acciones los cinco años no son s</t>
  </si>
  <si>
    <t>uficientes para recuperar la inversion por tanto en los dos casos son proyectos infactibles.</t>
  </si>
  <si>
    <t xml:space="preserve">FLUJO NETO DEL EFECTIVO </t>
  </si>
  <si>
    <t>Inversión maquinaria</t>
  </si>
  <si>
    <t>Gasto Adicional</t>
  </si>
  <si>
    <t>Capital de Trabajo</t>
  </si>
  <si>
    <t>Rotacion</t>
  </si>
  <si>
    <t>Total de la inversion</t>
  </si>
  <si>
    <t>Valor de rescate</t>
  </si>
  <si>
    <t>Depreciación</t>
  </si>
  <si>
    <t>WACC</t>
  </si>
  <si>
    <t>Precio por lata</t>
  </si>
  <si>
    <t xml:space="preserve">Esta en proporcion directa con las ventas </t>
  </si>
  <si>
    <t>Costo Variable de Adminis</t>
  </si>
  <si>
    <t>Costo Varibale de Producción</t>
  </si>
  <si>
    <t>Costo fijo de fabricacion</t>
  </si>
  <si>
    <t>Venta de Activo</t>
  </si>
  <si>
    <t>minimo requerido de 38%</t>
  </si>
  <si>
    <t xml:space="preserve"> El proyecto muestra una rentabilidad del 90,47 %</t>
  </si>
  <si>
    <t xml:space="preserve">Costo fijo de Administracion </t>
  </si>
  <si>
    <t>VALOR DE RESCATE</t>
  </si>
  <si>
    <t xml:space="preserve">IMPUESTOS </t>
  </si>
  <si>
    <t xml:space="preserve">CAPITAL DE TRABAJO </t>
  </si>
  <si>
    <t xml:space="preserve">Años </t>
  </si>
  <si>
    <t>Meses</t>
  </si>
  <si>
    <t>DÍas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</si>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</sst>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&quot;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9">
    <xf numFmtId="0" fontId="0" fillId="0" borderId="0" xfId="0"/>
    <xf numFmtId="0" fontId="0" fillId="3" borderId="0" xfId="0" applyFill="1"/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5" fillId="3" borderId="0" xfId="0" applyFont="1" applyFill="1"/>
    <xf numFmtId="164" fontId="0" fillId="3" borderId="1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/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" xfId="0" applyFont="1" applyFill="1" applyBorder="1"/>
    <xf numFmtId="0" fontId="0" fillId="3" borderId="1" xfId="0" applyFill="1" applyBorder="1"/>
    <xf numFmtId="164" fontId="0" fillId="3" borderId="26" xfId="0" applyNumberFormat="1" applyFill="1" applyBorder="1"/>
    <xf numFmtId="164" fontId="0" fillId="3" borderId="27" xfId="0" applyNumberFormat="1" applyFill="1" applyBorder="1"/>
    <xf numFmtId="44" fontId="0" fillId="3" borderId="1" xfId="0" applyNumberFormat="1" applyFill="1" applyBorder="1"/>
    <xf numFmtId="9" fontId="0" fillId="3" borderId="1" xfId="0" applyNumberFormat="1" applyFill="1" applyBorder="1"/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0" fillId="3" borderId="19" xfId="0" applyFill="1" applyBorder="1"/>
    <xf numFmtId="2" fontId="0" fillId="3" borderId="20" xfId="0" applyNumberFormat="1" applyFill="1" applyBorder="1"/>
    <xf numFmtId="164" fontId="0" fillId="3" borderId="15" xfId="0" applyNumberFormat="1" applyFill="1" applyBorder="1"/>
    <xf numFmtId="0" fontId="2" fillId="3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2" fontId="0" fillId="3" borderId="14" xfId="0" applyNumberFormat="1" applyFont="1" applyFill="1" applyBorder="1"/>
    <xf numFmtId="44" fontId="0" fillId="3" borderId="14" xfId="0" applyNumberFormat="1" applyFont="1" applyFill="1" applyBorder="1"/>
    <xf numFmtId="0" fontId="0" fillId="3" borderId="0" xfId="0" applyFill="1" applyAlignment="1">
      <alignment horizontal="right"/>
    </xf>
    <xf numFmtId="0" fontId="6" fillId="3" borderId="1" xfId="0" applyFont="1" applyFill="1" applyBorder="1"/>
    <xf numFmtId="0" fontId="0" fillId="3" borderId="1" xfId="0" applyFont="1" applyFill="1" applyBorder="1"/>
    <xf numFmtId="2" fontId="0" fillId="3" borderId="1" xfId="0" applyNumberFormat="1" applyFont="1" applyFill="1" applyBorder="1"/>
    <xf numFmtId="44" fontId="0" fillId="3" borderId="1" xfId="1" applyFont="1" applyFill="1" applyBorder="1"/>
    <xf numFmtId="0" fontId="6" fillId="3" borderId="1" xfId="0" applyFont="1" applyFill="1" applyBorder="1" applyAlignment="1">
      <alignment horizontal="left"/>
    </xf>
    <xf numFmtId="2" fontId="0" fillId="3" borderId="13" xfId="0" applyNumberFormat="1" applyFont="1" applyFill="1" applyBorder="1"/>
    <xf numFmtId="44" fontId="0" fillId="3" borderId="13" xfId="1" applyFont="1" applyFill="1" applyBorder="1"/>
    <xf numFmtId="0" fontId="0" fillId="3" borderId="0" xfId="0" applyFill="1" applyBorder="1" applyAlignment="1">
      <alignment horizontal="right"/>
    </xf>
    <xf numFmtId="0" fontId="7" fillId="3" borderId="1" xfId="0" applyFont="1" applyFill="1" applyBorder="1"/>
    <xf numFmtId="164" fontId="10" fillId="3" borderId="1" xfId="0" applyNumberFormat="1" applyFont="1" applyFill="1" applyBorder="1"/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164" fontId="0" fillId="3" borderId="1" xfId="0" applyNumberFormat="1" applyFont="1" applyFill="1" applyBorder="1"/>
    <xf numFmtId="0" fontId="8" fillId="3" borderId="1" xfId="0" applyFont="1" applyFill="1" applyBorder="1"/>
    <xf numFmtId="0" fontId="0" fillId="3" borderId="10" xfId="0" applyFont="1" applyFill="1" applyBorder="1"/>
    <xf numFmtId="44" fontId="0" fillId="3" borderId="1" xfId="0" applyNumberFormat="1" applyFont="1" applyFill="1" applyBorder="1"/>
    <xf numFmtId="164" fontId="0" fillId="3" borderId="0" xfId="0" applyNumberFormat="1" applyFill="1"/>
    <xf numFmtId="0" fontId="6" fillId="3" borderId="0" xfId="0" applyFont="1" applyFill="1" applyBorder="1" applyAlignment="1">
      <alignment horizontal="left"/>
    </xf>
    <xf numFmtId="0" fontId="8" fillId="3" borderId="15" xfId="0" applyFont="1" applyFill="1" applyBorder="1"/>
    <xf numFmtId="0" fontId="0" fillId="3" borderId="21" xfId="0" applyFont="1" applyFill="1" applyBorder="1"/>
    <xf numFmtId="0" fontId="6" fillId="3" borderId="21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left"/>
    </xf>
    <xf numFmtId="8" fontId="0" fillId="3" borderId="1" xfId="0" applyNumberFormat="1" applyFill="1" applyBorder="1"/>
    <xf numFmtId="0" fontId="2" fillId="3" borderId="0" xfId="0" applyFont="1" applyFill="1"/>
    <xf numFmtId="9" fontId="0" fillId="3" borderId="0" xfId="0" applyNumberFormat="1" applyFill="1"/>
    <xf numFmtId="0" fontId="2" fillId="3" borderId="1" xfId="0" applyFont="1" applyFill="1" applyBorder="1"/>
    <xf numFmtId="10" fontId="0" fillId="3" borderId="1" xfId="2" applyNumberFormat="1" applyFont="1" applyFill="1" applyBorder="1"/>
    <xf numFmtId="0" fontId="0" fillId="3" borderId="1" xfId="0" applyFill="1" applyBorder="1" applyAlignment="1">
      <alignment horizontal="left"/>
    </xf>
    <xf numFmtId="8" fontId="0" fillId="3" borderId="0" xfId="0" applyNumberFormat="1" applyFill="1"/>
    <xf numFmtId="44" fontId="0" fillId="3" borderId="0" xfId="0" applyNumberFormat="1" applyFill="1"/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" fillId="3" borderId="0" xfId="0" applyFont="1" applyFill="1" applyBorder="1"/>
    <xf numFmtId="9" fontId="0" fillId="3" borderId="0" xfId="0" applyNumberFormat="1" applyFill="1" applyBorder="1"/>
    <xf numFmtId="2" fontId="0" fillId="3" borderId="0" xfId="0" applyNumberFormat="1" applyFill="1"/>
    <xf numFmtId="0" fontId="0" fillId="3" borderId="0" xfId="0" applyFont="1" applyFill="1" applyBorder="1"/>
    <xf numFmtId="0" fontId="3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9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9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9" borderId="1" xfId="0" applyFont="1" applyFill="1" applyBorder="1"/>
    <xf numFmtId="0" fontId="1" fillId="10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5" borderId="1" xfId="0" applyFont="1" applyFill="1" applyBorder="1"/>
    <xf numFmtId="0" fontId="1" fillId="3" borderId="1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8" fontId="0" fillId="3" borderId="2" xfId="0" applyNumberFormat="1" applyFill="1" applyBorder="1"/>
    <xf numFmtId="8" fontId="0" fillId="3" borderId="4" xfId="0" applyNumberFormat="1" applyFill="1" applyBorder="1"/>
    <xf numFmtId="44" fontId="0" fillId="3" borderId="5" xfId="0" applyNumberFormat="1" applyFill="1" applyBorder="1"/>
    <xf numFmtId="2" fontId="0" fillId="3" borderId="5" xfId="0" applyNumberFormat="1" applyFill="1" applyBorder="1"/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11" borderId="1" xfId="0" applyFont="1" applyFill="1" applyBorder="1"/>
    <xf numFmtId="0" fontId="2" fillId="9" borderId="1" xfId="0" applyFont="1" applyFill="1" applyBorder="1"/>
    <xf numFmtId="0" fontId="2" fillId="9" borderId="1" xfId="0" applyFont="1" applyFill="1" applyBorder="1" applyAlignment="1">
      <alignment horizontal="left"/>
    </xf>
    <xf numFmtId="8" fontId="0" fillId="3" borderId="12" xfId="0" applyNumberFormat="1" applyFill="1" applyBorder="1"/>
    <xf numFmtId="9" fontId="0" fillId="3" borderId="12" xfId="0" applyNumberFormat="1" applyFill="1" applyBorder="1"/>
    <xf numFmtId="2" fontId="0" fillId="3" borderId="12" xfId="0" applyNumberFormat="1" applyFill="1" applyBorder="1"/>
    <xf numFmtId="0" fontId="1" fillId="3" borderId="14" xfId="0" applyFont="1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2" fillId="3" borderId="14" xfId="0" applyFont="1" applyFill="1" applyBorder="1"/>
    <xf numFmtId="0" fontId="2" fillId="9" borderId="10" xfId="0" applyFont="1" applyFill="1" applyBorder="1" applyAlignment="1">
      <alignment horizontal="left"/>
    </xf>
    <xf numFmtId="0" fontId="2" fillId="9" borderId="12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3" fillId="12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1" fillId="8" borderId="1" xfId="0" applyFont="1" applyFill="1" applyBorder="1"/>
    <xf numFmtId="0" fontId="2" fillId="8" borderId="10" xfId="0" applyFont="1" applyFill="1" applyBorder="1" applyAlignment="1">
      <alignment horizontal="left"/>
    </xf>
    <xf numFmtId="0" fontId="2" fillId="8" borderId="1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44" fontId="0" fillId="5" borderId="1" xfId="0" applyNumberFormat="1" applyFill="1" applyBorder="1"/>
    <xf numFmtId="8" fontId="0" fillId="5" borderId="1" xfId="0" applyNumberForma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selection activeCell="F101" sqref="F101"/>
    </sheetView>
  </sheetViews>
  <sheetFormatPr baseColWidth="10" defaultRowHeight="15" x14ac:dyDescent="0.25"/>
  <cols>
    <col min="1" max="1" width="4.85546875" style="1" customWidth="1"/>
    <col min="2" max="2" width="13.7109375" style="1" bestFit="1" customWidth="1"/>
    <col min="3" max="3" width="12.28515625" style="1" bestFit="1" customWidth="1"/>
    <col min="4" max="4" width="13" style="1" bestFit="1" customWidth="1"/>
    <col min="5" max="8" width="11.42578125" style="1"/>
    <col min="9" max="9" width="13.5703125" style="1" customWidth="1"/>
    <col min="10" max="10" width="14.7109375" style="1" customWidth="1"/>
    <col min="11" max="11" width="5" style="1" customWidth="1"/>
    <col min="12" max="12" width="15" style="1" customWidth="1"/>
    <col min="13" max="13" width="14.140625" style="1" customWidth="1"/>
    <col min="14" max="14" width="12.42578125" style="1" customWidth="1"/>
    <col min="15" max="16384" width="11.42578125" style="1"/>
  </cols>
  <sheetData>
    <row r="1" spans="2:9" ht="22.5" x14ac:dyDescent="0.3">
      <c r="B1" s="117" t="s">
        <v>14</v>
      </c>
      <c r="C1" s="117"/>
      <c r="D1" s="117"/>
      <c r="E1" s="117"/>
      <c r="F1" s="117"/>
      <c r="G1" s="117"/>
      <c r="H1" s="117"/>
      <c r="I1" s="117"/>
    </row>
    <row r="3" spans="2:9" x14ac:dyDescent="0.25">
      <c r="B3" s="95" t="s">
        <v>67</v>
      </c>
      <c r="C3" s="96"/>
      <c r="D3" s="96"/>
      <c r="E3" s="96"/>
      <c r="F3" s="96"/>
      <c r="G3" s="96"/>
      <c r="H3" s="96"/>
      <c r="I3" s="97"/>
    </row>
    <row r="4" spans="2:9" x14ac:dyDescent="0.25">
      <c r="B4" s="98" t="s">
        <v>0</v>
      </c>
      <c r="C4" s="99"/>
      <c r="D4" s="99"/>
      <c r="E4" s="99"/>
      <c r="F4" s="99"/>
      <c r="G4" s="99"/>
      <c r="H4" s="99"/>
      <c r="I4" s="100"/>
    </row>
    <row r="5" spans="2:9" x14ac:dyDescent="0.25">
      <c r="B5" s="98"/>
      <c r="C5" s="99"/>
      <c r="D5" s="99"/>
      <c r="E5" s="99"/>
      <c r="F5" s="99"/>
      <c r="G5" s="99"/>
      <c r="H5" s="99"/>
      <c r="I5" s="100"/>
    </row>
    <row r="6" spans="2:9" x14ac:dyDescent="0.25">
      <c r="B6" s="101" t="s">
        <v>1</v>
      </c>
      <c r="C6" s="102"/>
      <c r="D6" s="102"/>
      <c r="E6" s="102"/>
      <c r="F6" s="102"/>
      <c r="G6" s="102"/>
      <c r="H6" s="102"/>
      <c r="I6" s="103"/>
    </row>
    <row r="7" spans="2:9" x14ac:dyDescent="0.25">
      <c r="B7" s="98" t="s">
        <v>2</v>
      </c>
      <c r="C7" s="99"/>
      <c r="D7" s="99"/>
      <c r="E7" s="99"/>
      <c r="F7" s="99"/>
      <c r="G7" s="99"/>
      <c r="H7" s="99"/>
      <c r="I7" s="100"/>
    </row>
    <row r="8" spans="2:9" x14ac:dyDescent="0.25">
      <c r="B8" s="98"/>
      <c r="C8" s="99"/>
      <c r="D8" s="99"/>
      <c r="E8" s="99"/>
      <c r="F8" s="99"/>
      <c r="G8" s="99"/>
      <c r="H8" s="99"/>
      <c r="I8" s="100"/>
    </row>
    <row r="9" spans="2:9" x14ac:dyDescent="0.25">
      <c r="B9" s="98" t="s">
        <v>3</v>
      </c>
      <c r="C9" s="99"/>
      <c r="D9" s="99"/>
      <c r="E9" s="99"/>
      <c r="F9" s="99"/>
      <c r="G9" s="99"/>
      <c r="H9" s="99"/>
      <c r="I9" s="100"/>
    </row>
    <row r="10" spans="2:9" ht="14.25" customHeight="1" x14ac:dyDescent="0.25">
      <c r="B10" s="98" t="s">
        <v>4</v>
      </c>
      <c r="C10" s="99"/>
      <c r="D10" s="99"/>
      <c r="E10" s="99"/>
      <c r="F10" s="99"/>
      <c r="G10" s="99"/>
      <c r="H10" s="99"/>
      <c r="I10" s="100"/>
    </row>
    <row r="11" spans="2:9" x14ac:dyDescent="0.25">
      <c r="B11" s="98"/>
      <c r="C11" s="99"/>
      <c r="D11" s="99"/>
      <c r="E11" s="99"/>
      <c r="F11" s="99"/>
      <c r="G11" s="99"/>
      <c r="H11" s="99"/>
      <c r="I11" s="100"/>
    </row>
    <row r="12" spans="2:9" x14ac:dyDescent="0.25">
      <c r="B12" s="104" t="s">
        <v>5</v>
      </c>
      <c r="C12" s="105"/>
      <c r="D12" s="105"/>
      <c r="E12" s="105"/>
      <c r="F12" s="105"/>
      <c r="G12" s="105"/>
      <c r="H12" s="105"/>
      <c r="I12" s="106"/>
    </row>
    <row r="15" spans="2:9" x14ac:dyDescent="0.25">
      <c r="C15" s="119"/>
      <c r="D15" s="118" t="s">
        <v>6</v>
      </c>
      <c r="E15" s="118" t="s">
        <v>7</v>
      </c>
    </row>
    <row r="16" spans="2:9" x14ac:dyDescent="0.25">
      <c r="C16" s="31">
        <v>1</v>
      </c>
      <c r="D16" s="17">
        <v>50000</v>
      </c>
      <c r="E16" s="17">
        <v>25000</v>
      </c>
    </row>
    <row r="17" spans="2:10" x14ac:dyDescent="0.25">
      <c r="C17" s="31">
        <v>2</v>
      </c>
      <c r="D17" s="17">
        <v>50000</v>
      </c>
      <c r="E17" s="17">
        <v>25000</v>
      </c>
    </row>
    <row r="18" spans="2:10" x14ac:dyDescent="0.25">
      <c r="C18" s="31">
        <v>3</v>
      </c>
      <c r="D18" s="17">
        <v>50000</v>
      </c>
      <c r="E18" s="17">
        <v>25000</v>
      </c>
    </row>
    <row r="19" spans="2:10" x14ac:dyDescent="0.25">
      <c r="C19" s="31">
        <v>4</v>
      </c>
      <c r="D19" s="17">
        <v>50000</v>
      </c>
      <c r="E19" s="17">
        <v>25000</v>
      </c>
    </row>
    <row r="20" spans="2:10" x14ac:dyDescent="0.25">
      <c r="C20" s="31">
        <v>5</v>
      </c>
      <c r="D20" s="17">
        <v>50000</v>
      </c>
      <c r="E20" s="17">
        <v>25000</v>
      </c>
    </row>
    <row r="22" spans="2:10" x14ac:dyDescent="0.25">
      <c r="B22" s="107" t="s">
        <v>8</v>
      </c>
      <c r="C22" s="108"/>
      <c r="D22" s="108"/>
      <c r="E22" s="108"/>
      <c r="F22" s="108"/>
      <c r="G22" s="108"/>
      <c r="H22" s="108"/>
      <c r="I22" s="109"/>
    </row>
    <row r="23" spans="2:10" x14ac:dyDescent="0.25">
      <c r="B23" s="24" t="s">
        <v>9</v>
      </c>
      <c r="C23" s="25"/>
      <c r="D23" s="25"/>
      <c r="E23" s="25"/>
      <c r="F23" s="25"/>
      <c r="G23" s="25"/>
      <c r="H23" s="25"/>
      <c r="I23" s="26"/>
    </row>
    <row r="25" spans="2:10" x14ac:dyDescent="0.25">
      <c r="B25" s="110" t="s">
        <v>10</v>
      </c>
      <c r="C25" s="111"/>
      <c r="D25" s="111"/>
      <c r="E25" s="111"/>
      <c r="F25" s="111"/>
      <c r="G25" s="111"/>
      <c r="H25" s="111"/>
      <c r="I25" s="112"/>
    </row>
    <row r="27" spans="2:10" x14ac:dyDescent="0.25">
      <c r="B27" s="27" t="s">
        <v>11</v>
      </c>
    </row>
    <row r="28" spans="2:10" x14ac:dyDescent="0.25">
      <c r="B28" s="18" t="s">
        <v>15</v>
      </c>
      <c r="C28" s="19"/>
      <c r="D28" s="19"/>
      <c r="E28" s="19"/>
      <c r="F28" s="19"/>
      <c r="G28" s="19"/>
      <c r="H28" s="19"/>
      <c r="I28" s="19"/>
      <c r="J28" s="20"/>
    </row>
    <row r="29" spans="2:10" x14ac:dyDescent="0.25">
      <c r="B29" s="21" t="s">
        <v>16</v>
      </c>
      <c r="C29" s="22"/>
      <c r="D29" s="22"/>
      <c r="E29" s="22"/>
      <c r="F29" s="22"/>
      <c r="G29" s="22"/>
      <c r="H29" s="22"/>
      <c r="I29" s="22"/>
      <c r="J29" s="23"/>
    </row>
    <row r="30" spans="2:10" x14ac:dyDescent="0.25">
      <c r="B30" s="21" t="s">
        <v>17</v>
      </c>
      <c r="C30" s="22"/>
      <c r="D30" s="22"/>
      <c r="E30" s="22"/>
      <c r="F30" s="22"/>
      <c r="G30" s="22"/>
      <c r="H30" s="22"/>
      <c r="I30" s="22"/>
      <c r="J30" s="23"/>
    </row>
    <row r="31" spans="2:10" x14ac:dyDescent="0.25">
      <c r="B31" s="21" t="s">
        <v>18</v>
      </c>
      <c r="C31" s="22"/>
      <c r="D31" s="22"/>
      <c r="E31" s="22"/>
      <c r="F31" s="22"/>
      <c r="G31" s="22"/>
      <c r="H31" s="22"/>
      <c r="I31" s="22"/>
      <c r="J31" s="23"/>
    </row>
    <row r="32" spans="2:10" x14ac:dyDescent="0.25">
      <c r="B32" s="21" t="s">
        <v>19</v>
      </c>
      <c r="C32" s="22"/>
      <c r="D32" s="22"/>
      <c r="E32" s="22"/>
      <c r="F32" s="22"/>
      <c r="G32" s="22"/>
      <c r="H32" s="22"/>
      <c r="I32" s="22"/>
      <c r="J32" s="23"/>
    </row>
    <row r="33" spans="2:17" x14ac:dyDescent="0.25">
      <c r="B33" s="21" t="s">
        <v>12</v>
      </c>
      <c r="C33" s="22"/>
      <c r="D33" s="22"/>
      <c r="E33" s="22"/>
      <c r="F33" s="22"/>
      <c r="G33" s="22"/>
      <c r="H33" s="22"/>
      <c r="I33" s="22"/>
      <c r="J33" s="23"/>
    </row>
    <row r="34" spans="2:17" x14ac:dyDescent="0.25">
      <c r="B34" s="21" t="s">
        <v>20</v>
      </c>
      <c r="C34" s="22"/>
      <c r="D34" s="22"/>
      <c r="E34" s="22"/>
      <c r="F34" s="22"/>
      <c r="G34" s="22"/>
      <c r="H34" s="22"/>
      <c r="I34" s="22"/>
      <c r="J34" s="23"/>
    </row>
    <row r="35" spans="2:17" x14ac:dyDescent="0.25">
      <c r="B35" s="21" t="s">
        <v>21</v>
      </c>
      <c r="C35" s="22"/>
      <c r="D35" s="22"/>
      <c r="E35" s="22"/>
      <c r="F35" s="22"/>
      <c r="G35" s="22"/>
      <c r="H35" s="22"/>
      <c r="I35" s="22"/>
      <c r="J35" s="23"/>
    </row>
    <row r="36" spans="2:17" x14ac:dyDescent="0.25">
      <c r="B36" s="24" t="s">
        <v>13</v>
      </c>
      <c r="C36" s="25"/>
      <c r="D36" s="25"/>
      <c r="E36" s="25"/>
      <c r="F36" s="25"/>
      <c r="G36" s="25"/>
      <c r="H36" s="25"/>
      <c r="I36" s="25"/>
      <c r="J36" s="26"/>
    </row>
    <row r="39" spans="2:17" ht="24.75" x14ac:dyDescent="0.25">
      <c r="C39" s="120" t="s">
        <v>68</v>
      </c>
      <c r="D39" s="120" t="s">
        <v>71</v>
      </c>
      <c r="E39" s="120" t="s">
        <v>70</v>
      </c>
      <c r="M39" s="122" t="s">
        <v>68</v>
      </c>
      <c r="N39" s="122" t="s">
        <v>71</v>
      </c>
      <c r="O39" s="122" t="s">
        <v>70</v>
      </c>
    </row>
    <row r="40" spans="2:17" x14ac:dyDescent="0.25">
      <c r="B40" s="120" t="s">
        <v>6</v>
      </c>
      <c r="C40" s="17">
        <v>500</v>
      </c>
      <c r="D40" s="17">
        <v>200</v>
      </c>
      <c r="E40" s="17">
        <f>C40*D40</f>
        <v>100000</v>
      </c>
      <c r="L40" s="122" t="s">
        <v>6</v>
      </c>
      <c r="M40" s="17">
        <v>500</v>
      </c>
      <c r="N40" s="17">
        <v>250</v>
      </c>
      <c r="O40" s="17">
        <f>M40*N40</f>
        <v>125000</v>
      </c>
    </row>
    <row r="41" spans="2:17" x14ac:dyDescent="0.25">
      <c r="B41" s="120" t="s">
        <v>7</v>
      </c>
      <c r="C41" s="17">
        <v>500</v>
      </c>
      <c r="D41" s="17">
        <v>100</v>
      </c>
      <c r="E41" s="17">
        <f>C41*D41</f>
        <v>50000</v>
      </c>
      <c r="L41" s="122" t="s">
        <v>7</v>
      </c>
      <c r="M41" s="17">
        <v>500</v>
      </c>
      <c r="N41" s="17">
        <v>165</v>
      </c>
      <c r="O41" s="17">
        <f>M41*N41</f>
        <v>82500</v>
      </c>
    </row>
    <row r="43" spans="2:17" x14ac:dyDescent="0.25">
      <c r="B43" s="121" t="s">
        <v>69</v>
      </c>
      <c r="C43" s="35">
        <v>0.38</v>
      </c>
      <c r="L43" s="123" t="s">
        <v>69</v>
      </c>
      <c r="M43" s="35">
        <v>0.38</v>
      </c>
    </row>
    <row r="44" spans="2:17" x14ac:dyDescent="0.25">
      <c r="B44" s="113"/>
      <c r="C44" s="114"/>
    </row>
    <row r="45" spans="2:17" x14ac:dyDescent="0.25">
      <c r="B45" s="113"/>
      <c r="C45" s="114"/>
    </row>
    <row r="46" spans="2:17" x14ac:dyDescent="0.25">
      <c r="B46" s="113"/>
      <c r="C46" s="114"/>
    </row>
    <row r="47" spans="2:17" x14ac:dyDescent="0.25">
      <c r="B47" s="126" t="s">
        <v>73</v>
      </c>
      <c r="L47" s="126" t="s">
        <v>73</v>
      </c>
    </row>
    <row r="48" spans="2:17" x14ac:dyDescent="0.25">
      <c r="B48" s="127" t="s">
        <v>72</v>
      </c>
      <c r="C48" s="127"/>
      <c r="D48" s="127"/>
      <c r="E48" s="127"/>
      <c r="F48" s="127"/>
      <c r="G48" s="127"/>
      <c r="L48" s="127" t="s">
        <v>72</v>
      </c>
      <c r="M48" s="127"/>
      <c r="N48" s="127"/>
      <c r="O48" s="127"/>
      <c r="P48" s="127"/>
      <c r="Q48" s="127"/>
    </row>
    <row r="49" spans="1:17" x14ac:dyDescent="0.25">
      <c r="B49" s="128">
        <v>0</v>
      </c>
      <c r="C49" s="128">
        <v>1</v>
      </c>
      <c r="D49" s="128">
        <v>2</v>
      </c>
      <c r="E49" s="128">
        <v>3</v>
      </c>
      <c r="F49" s="128">
        <v>4</v>
      </c>
      <c r="G49" s="128">
        <v>5</v>
      </c>
      <c r="L49" s="128">
        <v>0</v>
      </c>
      <c r="M49" s="128">
        <v>1</v>
      </c>
      <c r="N49" s="128">
        <v>2</v>
      </c>
      <c r="O49" s="128">
        <v>3</v>
      </c>
      <c r="P49" s="128">
        <v>4</v>
      </c>
      <c r="Q49" s="128">
        <v>5</v>
      </c>
    </row>
    <row r="50" spans="1:17" x14ac:dyDescent="0.25">
      <c r="A50" s="124" t="s">
        <v>58</v>
      </c>
      <c r="B50" s="34">
        <f>-(+E40)</f>
        <v>-100000</v>
      </c>
      <c r="C50" s="17">
        <f>+D16</f>
        <v>50000</v>
      </c>
      <c r="D50" s="17">
        <f>+D17</f>
        <v>50000</v>
      </c>
      <c r="E50" s="17">
        <f>+D18</f>
        <v>50000</v>
      </c>
      <c r="F50" s="17">
        <f>+D19</f>
        <v>50000</v>
      </c>
      <c r="G50" s="17">
        <f>+D20</f>
        <v>50000</v>
      </c>
      <c r="K50" s="124" t="s">
        <v>58</v>
      </c>
      <c r="L50" s="34">
        <f>-(+O40)</f>
        <v>-125000</v>
      </c>
      <c r="M50" s="17">
        <f>+$D$16</f>
        <v>50000</v>
      </c>
      <c r="N50" s="17">
        <f t="shared" ref="N50:Q50" si="0">+$D$16</f>
        <v>50000</v>
      </c>
      <c r="O50" s="17">
        <f t="shared" si="0"/>
        <v>50000</v>
      </c>
      <c r="P50" s="17">
        <f t="shared" si="0"/>
        <v>50000</v>
      </c>
      <c r="Q50" s="17">
        <f t="shared" si="0"/>
        <v>50000</v>
      </c>
    </row>
    <row r="51" spans="1:17" x14ac:dyDescent="0.25">
      <c r="A51" s="124" t="s">
        <v>74</v>
      </c>
      <c r="B51" s="31"/>
      <c r="C51" s="87">
        <f>PV($C$43,C49,,-C50)</f>
        <v>36231.884057971016</v>
      </c>
      <c r="D51" s="87">
        <f t="shared" ref="D51:G51" si="1">PV($C$43,D49,,-D50)</f>
        <v>26254.988447805088</v>
      </c>
      <c r="E51" s="87">
        <f t="shared" si="1"/>
        <v>19025.353947684845</v>
      </c>
      <c r="F51" s="87">
        <f t="shared" si="1"/>
        <v>13786.488367887572</v>
      </c>
      <c r="G51" s="87">
        <f t="shared" si="1"/>
        <v>9990.2089622373715</v>
      </c>
      <c r="K51" s="124" t="s">
        <v>74</v>
      </c>
      <c r="L51" s="31"/>
      <c r="M51" s="87">
        <f>PV($C$43,M49,,-M50)</f>
        <v>36231.884057971016</v>
      </c>
      <c r="N51" s="87">
        <f t="shared" ref="N51" si="2">PV($C$43,N49,,-N50)</f>
        <v>26254.988447805088</v>
      </c>
      <c r="O51" s="87">
        <f t="shared" ref="O51" si="3">PV($C$43,O49,,-O50)</f>
        <v>19025.353947684845</v>
      </c>
      <c r="P51" s="87">
        <f t="shared" ref="P51" si="4">PV($C$43,P49,,-P50)</f>
        <v>13786.488367887572</v>
      </c>
      <c r="Q51" s="87">
        <f t="shared" ref="Q51" si="5">PV($C$43,Q49,,-Q50)</f>
        <v>9990.2089622373715</v>
      </c>
    </row>
    <row r="53" spans="1:17" x14ac:dyDescent="0.25">
      <c r="B53" s="121" t="s">
        <v>74</v>
      </c>
      <c r="C53" s="87">
        <f>SUM(C51:G51)</f>
        <v>105288.92378358591</v>
      </c>
      <c r="L53" s="121" t="s">
        <v>74</v>
      </c>
      <c r="M53" s="87">
        <f>SUM(M51:Q51)</f>
        <v>105288.92378358591</v>
      </c>
    </row>
    <row r="54" spans="1:17" x14ac:dyDescent="0.25">
      <c r="B54" s="131" t="s">
        <v>75</v>
      </c>
      <c r="C54" s="87">
        <f>SUM(C51:G51)+B50</f>
        <v>5288.9237835859094</v>
      </c>
      <c r="D54" s="1" t="s">
        <v>78</v>
      </c>
      <c r="L54" s="131" t="s">
        <v>75</v>
      </c>
      <c r="M54" s="87">
        <f>SUM(M51:Q51)+L50</f>
        <v>-19711.076216414091</v>
      </c>
      <c r="N54" s="1" t="s">
        <v>89</v>
      </c>
    </row>
    <row r="55" spans="1:17" x14ac:dyDescent="0.25">
      <c r="B55" s="88"/>
      <c r="L55" s="88"/>
    </row>
    <row r="56" spans="1:17" x14ac:dyDescent="0.25">
      <c r="B56" s="131" t="s">
        <v>66</v>
      </c>
      <c r="C56" s="35">
        <f>IRR(B50:G50)</f>
        <v>0.41041496500941821</v>
      </c>
      <c r="D56" s="1" t="s">
        <v>79</v>
      </c>
      <c r="L56" s="131" t="s">
        <v>66</v>
      </c>
      <c r="M56" s="35">
        <f>IRR(L50:Q50)</f>
        <v>0.28649290249767567</v>
      </c>
      <c r="N56" s="1" t="s">
        <v>90</v>
      </c>
    </row>
    <row r="57" spans="1:17" x14ac:dyDescent="0.25">
      <c r="B57" s="88"/>
      <c r="D57" s="89" t="s">
        <v>80</v>
      </c>
      <c r="L57" s="88"/>
      <c r="N57" s="89"/>
    </row>
    <row r="58" spans="1:17" x14ac:dyDescent="0.25">
      <c r="B58" s="88"/>
      <c r="L58" s="88"/>
    </row>
    <row r="59" spans="1:17" x14ac:dyDescent="0.25">
      <c r="B59" s="131" t="s">
        <v>76</v>
      </c>
      <c r="C59" s="15">
        <f>SUM(C53/-B50)</f>
        <v>1.0528892378358592</v>
      </c>
      <c r="L59" s="131" t="s">
        <v>76</v>
      </c>
      <c r="M59" s="15">
        <f>SUM(M53/-L50)</f>
        <v>0.84231139026868729</v>
      </c>
    </row>
    <row r="60" spans="1:17" x14ac:dyDescent="0.25">
      <c r="B60" s="90"/>
      <c r="C60" s="91">
        <f>SUM(C59-1)</f>
        <v>5.2889237835859193E-2</v>
      </c>
      <c r="D60" s="1" t="s">
        <v>81</v>
      </c>
      <c r="L60" s="90"/>
      <c r="M60" s="91">
        <f>SUM(M59-1)</f>
        <v>-0.15768860973131271</v>
      </c>
      <c r="N60" s="1" t="s">
        <v>91</v>
      </c>
    </row>
    <row r="61" spans="1:17" x14ac:dyDescent="0.25">
      <c r="B61" s="88"/>
      <c r="L61" s="88"/>
    </row>
    <row r="62" spans="1:17" x14ac:dyDescent="0.25">
      <c r="B62" s="133" t="s">
        <v>77</v>
      </c>
      <c r="C62" s="134"/>
      <c r="L62" s="141" t="s">
        <v>77</v>
      </c>
      <c r="M62" s="141"/>
    </row>
    <row r="63" spans="1:17" x14ac:dyDescent="0.25">
      <c r="B63" s="132" t="s">
        <v>118</v>
      </c>
      <c r="C63" s="135">
        <v>4</v>
      </c>
      <c r="D63" s="136">
        <f>SUM(C51:F51)</f>
        <v>95298.714821348534</v>
      </c>
      <c r="E63" s="137">
        <f>SUM(G51/12)</f>
        <v>832.51741351978092</v>
      </c>
      <c r="L63" s="132" t="s">
        <v>118</v>
      </c>
      <c r="M63" s="92"/>
      <c r="N63" s="93">
        <f>SUM(M51:Q51)</f>
        <v>105288.92378358591</v>
      </c>
      <c r="O63" s="93" t="s">
        <v>92</v>
      </c>
    </row>
    <row r="64" spans="1:17" x14ac:dyDescent="0.25">
      <c r="B64" s="132" t="s">
        <v>119</v>
      </c>
      <c r="C64" s="135">
        <v>5</v>
      </c>
      <c r="D64" s="138">
        <f>SUM(-B50-D63)</f>
        <v>4701.2851786514657</v>
      </c>
      <c r="E64" s="23"/>
      <c r="L64" s="132" t="s">
        <v>119</v>
      </c>
      <c r="M64" s="92"/>
      <c r="N64" s="94"/>
    </row>
    <row r="65" spans="1:17" x14ac:dyDescent="0.25">
      <c r="B65" s="132" t="s">
        <v>120</v>
      </c>
      <c r="C65" s="135">
        <v>20</v>
      </c>
      <c r="D65" s="139">
        <f>SUM(D64/E63)</f>
        <v>5.6470712831999661</v>
      </c>
      <c r="E65" s="23"/>
      <c r="L65" s="132" t="s">
        <v>121</v>
      </c>
      <c r="M65" s="92"/>
      <c r="N65" s="115"/>
    </row>
    <row r="66" spans="1:17" x14ac:dyDescent="0.25">
      <c r="D66" s="24">
        <v>0.65</v>
      </c>
      <c r="E66" s="26">
        <f>SUM(D66*30)</f>
        <v>19.5</v>
      </c>
    </row>
    <row r="69" spans="1:17" x14ac:dyDescent="0.25">
      <c r="B69" s="142" t="s">
        <v>7</v>
      </c>
      <c r="L69" s="142" t="s">
        <v>7</v>
      </c>
    </row>
    <row r="70" spans="1:17" x14ac:dyDescent="0.25">
      <c r="B70" s="129" t="s">
        <v>72</v>
      </c>
      <c r="C70" s="129"/>
      <c r="D70" s="129"/>
      <c r="E70" s="129"/>
      <c r="F70" s="129"/>
      <c r="G70" s="129"/>
      <c r="L70" s="129" t="s">
        <v>72</v>
      </c>
      <c r="M70" s="129"/>
      <c r="N70" s="129"/>
      <c r="O70" s="129"/>
      <c r="P70" s="129"/>
      <c r="Q70" s="129"/>
    </row>
    <row r="71" spans="1:17" x14ac:dyDescent="0.25">
      <c r="B71" s="130">
        <v>0</v>
      </c>
      <c r="C71" s="130">
        <v>1</v>
      </c>
      <c r="D71" s="130">
        <v>2</v>
      </c>
      <c r="E71" s="130">
        <v>3</v>
      </c>
      <c r="F71" s="130">
        <v>4</v>
      </c>
      <c r="G71" s="130">
        <v>5</v>
      </c>
      <c r="L71" s="130">
        <v>0</v>
      </c>
      <c r="M71" s="130">
        <v>1</v>
      </c>
      <c r="N71" s="130">
        <v>2</v>
      </c>
      <c r="O71" s="130">
        <v>3</v>
      </c>
      <c r="P71" s="130">
        <v>4</v>
      </c>
      <c r="Q71" s="130">
        <v>5</v>
      </c>
    </row>
    <row r="72" spans="1:17" x14ac:dyDescent="0.25">
      <c r="A72" s="124" t="s">
        <v>58</v>
      </c>
      <c r="B72" s="34">
        <f>-(+E41)</f>
        <v>-50000</v>
      </c>
      <c r="C72" s="17">
        <f>+E16</f>
        <v>25000</v>
      </c>
      <c r="D72" s="17">
        <f>+E17</f>
        <v>25000</v>
      </c>
      <c r="E72" s="17">
        <f>+E18</f>
        <v>25000</v>
      </c>
      <c r="F72" s="17">
        <f>+E19</f>
        <v>25000</v>
      </c>
      <c r="G72" s="17">
        <f>+E20</f>
        <v>25000</v>
      </c>
      <c r="K72" s="124" t="s">
        <v>58</v>
      </c>
      <c r="L72" s="34">
        <f>-(+O41)</f>
        <v>-82500</v>
      </c>
      <c r="M72" s="17">
        <f>+$E$16</f>
        <v>25000</v>
      </c>
      <c r="N72" s="17">
        <f t="shared" ref="N72:Q72" si="6">+$E$16</f>
        <v>25000</v>
      </c>
      <c r="O72" s="17">
        <f t="shared" si="6"/>
        <v>25000</v>
      </c>
      <c r="P72" s="17">
        <f t="shared" si="6"/>
        <v>25000</v>
      </c>
      <c r="Q72" s="17">
        <f t="shared" si="6"/>
        <v>25000</v>
      </c>
    </row>
    <row r="73" spans="1:17" x14ac:dyDescent="0.25">
      <c r="A73" s="124" t="s">
        <v>74</v>
      </c>
      <c r="B73" s="31"/>
      <c r="C73" s="87">
        <f>PV($C$43,C71,,-C72)</f>
        <v>18115.942028985508</v>
      </c>
      <c r="D73" s="87">
        <f t="shared" ref="D73:G73" si="7">PV($C$43,D71,,-D72)</f>
        <v>13127.494223902544</v>
      </c>
      <c r="E73" s="87">
        <f t="shared" si="7"/>
        <v>9512.6769738424227</v>
      </c>
      <c r="F73" s="87">
        <f t="shared" si="7"/>
        <v>6893.2441839437861</v>
      </c>
      <c r="G73" s="87">
        <f t="shared" si="7"/>
        <v>4995.1044811186857</v>
      </c>
      <c r="K73" s="124" t="s">
        <v>74</v>
      </c>
      <c r="L73" s="31"/>
      <c r="M73" s="87">
        <f>PV($C$43,M71,,-M72)</f>
        <v>18115.942028985508</v>
      </c>
      <c r="N73" s="87">
        <f t="shared" ref="N73" si="8">PV($C$43,N71,,-N72)</f>
        <v>13127.494223902544</v>
      </c>
      <c r="O73" s="87">
        <f t="shared" ref="O73" si="9">PV($C$43,O71,,-O72)</f>
        <v>9512.6769738424227</v>
      </c>
      <c r="P73" s="87">
        <f t="shared" ref="P73" si="10">PV($C$43,P71,,-P72)</f>
        <v>6893.2441839437861</v>
      </c>
      <c r="Q73" s="87">
        <f t="shared" ref="Q73" si="11">PV($C$43,Q71,,-Q72)</f>
        <v>4995.1044811186857</v>
      </c>
    </row>
    <row r="75" spans="1:17" x14ac:dyDescent="0.25">
      <c r="B75" s="125" t="s">
        <v>74</v>
      </c>
      <c r="C75" s="87">
        <f>SUM(C73:G73)</f>
        <v>52644.461891792955</v>
      </c>
      <c r="L75" s="125" t="s">
        <v>74</v>
      </c>
      <c r="M75" s="145">
        <f>SUM(M73:Q73)</f>
        <v>52644.461891792955</v>
      </c>
    </row>
    <row r="76" spans="1:17" x14ac:dyDescent="0.25">
      <c r="B76" s="143" t="s">
        <v>75</v>
      </c>
      <c r="C76" s="87">
        <f>SUM(C73:G73)+B72</f>
        <v>2644.4618917929547</v>
      </c>
      <c r="D76" s="1" t="s">
        <v>78</v>
      </c>
      <c r="L76" s="143" t="s">
        <v>75</v>
      </c>
      <c r="M76" s="145">
        <f>SUM(M73:Q73)+L72</f>
        <v>-29855.538108207045</v>
      </c>
      <c r="N76" s="1" t="s">
        <v>89</v>
      </c>
    </row>
    <row r="77" spans="1:17" x14ac:dyDescent="0.25">
      <c r="B77" s="88"/>
      <c r="L77" s="88"/>
    </row>
    <row r="78" spans="1:17" x14ac:dyDescent="0.25">
      <c r="B78" s="143" t="s">
        <v>66</v>
      </c>
      <c r="C78" s="35">
        <f>IRR(B72:G72)</f>
        <v>0.41041496500867924</v>
      </c>
      <c r="D78" s="1" t="s">
        <v>79</v>
      </c>
      <c r="L78" s="143" t="s">
        <v>66</v>
      </c>
      <c r="M78" s="146">
        <f>IRR(L72:Q72)</f>
        <v>0.15665586711482349</v>
      </c>
      <c r="N78" s="1" t="s">
        <v>90</v>
      </c>
    </row>
    <row r="79" spans="1:17" x14ac:dyDescent="0.25">
      <c r="B79" s="88"/>
      <c r="D79" s="89" t="s">
        <v>80</v>
      </c>
      <c r="L79" s="88"/>
      <c r="N79" s="89"/>
    </row>
    <row r="80" spans="1:17" x14ac:dyDescent="0.25">
      <c r="B80" s="88"/>
      <c r="L80" s="88"/>
    </row>
    <row r="81" spans="2:15" x14ac:dyDescent="0.25">
      <c r="B81" s="143" t="s">
        <v>76</v>
      </c>
      <c r="C81" s="15">
        <f>SUM(C75/-B72)</f>
        <v>1.0528892378358592</v>
      </c>
      <c r="L81" s="143" t="s">
        <v>76</v>
      </c>
      <c r="M81" s="147">
        <f>SUM(M75/-L72)</f>
        <v>0.6381146895974904</v>
      </c>
    </row>
    <row r="82" spans="2:15" x14ac:dyDescent="0.25">
      <c r="B82" s="90"/>
      <c r="C82" s="91">
        <f>SUM(C81-1)</f>
        <v>5.2889237835859193E-2</v>
      </c>
      <c r="D82" s="1" t="s">
        <v>81</v>
      </c>
      <c r="L82" s="150"/>
      <c r="M82" s="91">
        <f>SUM(M81-1)</f>
        <v>-0.3618853104025096</v>
      </c>
      <c r="N82" s="1" t="s">
        <v>93</v>
      </c>
    </row>
    <row r="83" spans="2:15" x14ac:dyDescent="0.25">
      <c r="B83" s="88"/>
      <c r="L83" s="88"/>
    </row>
    <row r="84" spans="2:15" x14ac:dyDescent="0.25">
      <c r="B84" s="144" t="s">
        <v>77</v>
      </c>
      <c r="C84" s="144"/>
      <c r="L84" s="151" t="s">
        <v>77</v>
      </c>
      <c r="M84" s="152"/>
    </row>
    <row r="85" spans="2:15" x14ac:dyDescent="0.25">
      <c r="B85" s="148" t="s">
        <v>82</v>
      </c>
      <c r="C85" s="153">
        <v>4</v>
      </c>
      <c r="D85" s="136">
        <f>SUM(C73:F73)</f>
        <v>47649.357410674267</v>
      </c>
      <c r="E85" s="137">
        <f>SUM(G73/12)</f>
        <v>416.25870675989046</v>
      </c>
      <c r="L85" s="148" t="s">
        <v>82</v>
      </c>
      <c r="M85" s="149"/>
      <c r="N85" s="93">
        <f>SUM(M73:Q73)</f>
        <v>52644.461891792955</v>
      </c>
      <c r="O85" s="93" t="s">
        <v>92</v>
      </c>
    </row>
    <row r="86" spans="2:15" x14ac:dyDescent="0.25">
      <c r="B86" s="132" t="s">
        <v>83</v>
      </c>
      <c r="C86" s="135">
        <v>5</v>
      </c>
      <c r="D86" s="138">
        <f>SUM(-B72-D85)</f>
        <v>2350.6425893257328</v>
      </c>
      <c r="E86" s="23"/>
      <c r="J86" s="22"/>
      <c r="L86" s="132" t="s">
        <v>83</v>
      </c>
      <c r="M86" s="92"/>
      <c r="N86" s="94"/>
    </row>
    <row r="87" spans="2:15" x14ac:dyDescent="0.25">
      <c r="B87" s="132" t="s">
        <v>84</v>
      </c>
      <c r="C87" s="135">
        <v>20</v>
      </c>
      <c r="D87" s="139">
        <f>SUM(D86/E85)</f>
        <v>5.6470712831999661</v>
      </c>
      <c r="E87" s="23"/>
      <c r="L87" s="132" t="s">
        <v>84</v>
      </c>
      <c r="M87" s="92"/>
      <c r="N87" s="115"/>
    </row>
    <row r="88" spans="2:15" x14ac:dyDescent="0.25">
      <c r="D88" s="24">
        <v>0.65</v>
      </c>
      <c r="E88" s="26">
        <f>SUM(D88*30)</f>
        <v>19.5</v>
      </c>
    </row>
    <row r="90" spans="2:15" x14ac:dyDescent="0.25">
      <c r="L90" s="22"/>
    </row>
    <row r="91" spans="2:15" x14ac:dyDescent="0.25">
      <c r="B91" s="27" t="s">
        <v>87</v>
      </c>
    </row>
    <row r="92" spans="2:15" ht="32.25" customHeight="1" x14ac:dyDescent="0.25">
      <c r="B92" s="154" t="s">
        <v>85</v>
      </c>
      <c r="C92" s="155"/>
      <c r="D92" s="155"/>
      <c r="E92" s="155"/>
      <c r="F92" s="155"/>
      <c r="G92" s="155"/>
      <c r="H92" s="156"/>
    </row>
    <row r="94" spans="2:15" x14ac:dyDescent="0.25">
      <c r="B94" s="113" t="s">
        <v>86</v>
      </c>
    </row>
    <row r="95" spans="2:15" x14ac:dyDescent="0.25">
      <c r="B95" s="113" t="s">
        <v>12</v>
      </c>
      <c r="L95" s="113"/>
    </row>
    <row r="96" spans="2:15" x14ac:dyDescent="0.25">
      <c r="B96" s="74" t="s">
        <v>88</v>
      </c>
      <c r="C96" s="111"/>
      <c r="D96" s="111"/>
      <c r="E96" s="111"/>
      <c r="F96" s="111"/>
      <c r="G96" s="111"/>
      <c r="H96" s="111"/>
      <c r="I96" s="112"/>
      <c r="L96" s="116"/>
    </row>
    <row r="98" spans="2:9" x14ac:dyDescent="0.25">
      <c r="B98" s="113" t="s">
        <v>94</v>
      </c>
    </row>
    <row r="99" spans="2:9" x14ac:dyDescent="0.25">
      <c r="B99" s="18" t="s">
        <v>95</v>
      </c>
      <c r="C99" s="19"/>
      <c r="D99" s="19"/>
      <c r="E99" s="19"/>
      <c r="F99" s="19"/>
      <c r="G99" s="19"/>
      <c r="H99" s="19"/>
      <c r="I99" s="20"/>
    </row>
    <row r="100" spans="2:9" x14ac:dyDescent="0.25">
      <c r="B100" s="24" t="s">
        <v>96</v>
      </c>
      <c r="C100" s="25"/>
      <c r="D100" s="25"/>
      <c r="E100" s="25"/>
      <c r="F100" s="25"/>
      <c r="G100" s="25"/>
      <c r="H100" s="25"/>
      <c r="I100" s="26"/>
    </row>
    <row r="101" spans="2:9" x14ac:dyDescent="0.25">
      <c r="B101" s="113"/>
    </row>
  </sheetData>
  <mergeCells count="12">
    <mergeCell ref="B92:H92"/>
    <mergeCell ref="B62:C62"/>
    <mergeCell ref="L62:M62"/>
    <mergeCell ref="B84:C84"/>
    <mergeCell ref="L84:M84"/>
    <mergeCell ref="L48:Q48"/>
    <mergeCell ref="L70:Q70"/>
    <mergeCell ref="B6:I6"/>
    <mergeCell ref="B1:I1"/>
    <mergeCell ref="B22:I22"/>
    <mergeCell ref="B48:G48"/>
    <mergeCell ref="B70:G7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7"/>
  <sheetViews>
    <sheetView tabSelected="1" topLeftCell="A42" workbookViewId="0">
      <selection activeCell="K52" sqref="K52"/>
    </sheetView>
  </sheetViews>
  <sheetFormatPr baseColWidth="10" defaultRowHeight="15" x14ac:dyDescent="0.25"/>
  <cols>
    <col min="1" max="2" width="11.42578125" style="1"/>
    <col min="3" max="3" width="13.140625" style="1" bestFit="1" customWidth="1"/>
    <col min="4" max="4" width="15.85546875" style="1" customWidth="1"/>
    <col min="5" max="6" width="17.28515625" style="1" customWidth="1"/>
    <col min="7" max="7" width="16.42578125" style="1" customWidth="1"/>
    <col min="8" max="8" width="15.42578125" style="1" customWidth="1"/>
    <col min="9" max="9" width="15.5703125" style="1" customWidth="1"/>
    <col min="10" max="10" width="23.42578125" style="1" customWidth="1"/>
    <col min="11" max="16384" width="11.42578125" style="1"/>
  </cols>
  <sheetData>
    <row r="2" spans="2:9" ht="22.5" x14ac:dyDescent="0.3">
      <c r="B2" s="157" t="s">
        <v>22</v>
      </c>
      <c r="C2" s="157"/>
      <c r="D2" s="157"/>
      <c r="E2" s="157"/>
      <c r="F2" s="157"/>
      <c r="G2" s="157"/>
      <c r="H2" s="157"/>
      <c r="I2" s="157"/>
    </row>
    <row r="5" spans="2:9" x14ac:dyDescent="0.25">
      <c r="B5" s="2" t="s">
        <v>23</v>
      </c>
      <c r="C5" s="3"/>
      <c r="D5" s="3"/>
      <c r="E5" s="3"/>
      <c r="F5" s="3"/>
      <c r="G5" s="3"/>
      <c r="H5" s="3"/>
      <c r="I5" s="4"/>
    </row>
    <row r="6" spans="2:9" x14ac:dyDescent="0.25">
      <c r="B6" s="5" t="s">
        <v>24</v>
      </c>
      <c r="C6" s="6"/>
      <c r="D6" s="6"/>
      <c r="E6" s="6"/>
      <c r="F6" s="6"/>
      <c r="G6" s="6"/>
      <c r="H6" s="6"/>
      <c r="I6" s="7"/>
    </row>
    <row r="7" spans="2:9" x14ac:dyDescent="0.25">
      <c r="B7" s="5" t="s">
        <v>25</v>
      </c>
      <c r="C7" s="6"/>
      <c r="D7" s="6"/>
      <c r="E7" s="6"/>
      <c r="F7" s="6"/>
      <c r="G7" s="6"/>
      <c r="H7" s="6"/>
      <c r="I7" s="7"/>
    </row>
    <row r="8" spans="2:9" x14ac:dyDescent="0.25">
      <c r="B8" s="8" t="s">
        <v>26</v>
      </c>
      <c r="C8" s="6"/>
      <c r="D8" s="6"/>
      <c r="E8" s="6"/>
      <c r="F8" s="6"/>
      <c r="G8" s="6"/>
      <c r="H8" s="6"/>
      <c r="I8" s="7"/>
    </row>
    <row r="9" spans="2:9" x14ac:dyDescent="0.25">
      <c r="B9" s="9" t="s">
        <v>27</v>
      </c>
      <c r="C9" s="10"/>
      <c r="D9" s="10"/>
      <c r="E9" s="10"/>
      <c r="F9" s="10"/>
      <c r="G9" s="10"/>
      <c r="H9" s="10"/>
      <c r="I9" s="11"/>
    </row>
    <row r="11" spans="2:9" ht="15.75" x14ac:dyDescent="0.25">
      <c r="B11" s="12" t="s">
        <v>28</v>
      </c>
    </row>
    <row r="13" spans="2:9" x14ac:dyDescent="0.25">
      <c r="B13" s="158" t="s">
        <v>29</v>
      </c>
      <c r="C13" s="158" t="s">
        <v>30</v>
      </c>
    </row>
    <row r="14" spans="2:9" x14ac:dyDescent="0.25">
      <c r="B14" s="14">
        <v>1</v>
      </c>
      <c r="C14" s="15">
        <v>2500000</v>
      </c>
    </row>
    <row r="15" spans="2:9" x14ac:dyDescent="0.25">
      <c r="B15" s="14">
        <v>2</v>
      </c>
      <c r="C15" s="15">
        <v>2000000</v>
      </c>
    </row>
    <row r="16" spans="2:9" x14ac:dyDescent="0.25">
      <c r="B16" s="14">
        <v>3</v>
      </c>
      <c r="C16" s="15">
        <v>2500000</v>
      </c>
    </row>
    <row r="17" spans="2:12" x14ac:dyDescent="0.25">
      <c r="B17" s="14">
        <v>4</v>
      </c>
      <c r="C17" s="15">
        <v>2000000</v>
      </c>
    </row>
    <row r="18" spans="2:12" x14ac:dyDescent="0.25">
      <c r="B18" s="14">
        <v>5</v>
      </c>
      <c r="C18" s="15">
        <v>3500000</v>
      </c>
    </row>
    <row r="20" spans="2:12" ht="15.75" x14ac:dyDescent="0.25">
      <c r="B20" s="16" t="s">
        <v>31</v>
      </c>
    </row>
    <row r="22" spans="2:12" ht="51" customHeight="1" x14ac:dyDescent="0.25">
      <c r="B22" s="159" t="s">
        <v>33</v>
      </c>
      <c r="C22" s="159"/>
      <c r="E22" s="159" t="s">
        <v>34</v>
      </c>
      <c r="F22" s="159"/>
      <c r="H22" s="160" t="s">
        <v>35</v>
      </c>
      <c r="I22" s="161"/>
      <c r="K22" s="160" t="s">
        <v>36</v>
      </c>
      <c r="L22" s="161"/>
    </row>
    <row r="23" spans="2:12" x14ac:dyDescent="0.25">
      <c r="B23" s="13" t="s">
        <v>29</v>
      </c>
      <c r="C23" s="13" t="s">
        <v>32</v>
      </c>
      <c r="E23" s="13" t="s">
        <v>29</v>
      </c>
      <c r="F23" s="13" t="s">
        <v>32</v>
      </c>
      <c r="H23" s="13" t="s">
        <v>29</v>
      </c>
      <c r="I23" s="13" t="s">
        <v>32</v>
      </c>
      <c r="K23" s="13" t="s">
        <v>29</v>
      </c>
      <c r="L23" s="13" t="s">
        <v>32</v>
      </c>
    </row>
    <row r="24" spans="2:12" x14ac:dyDescent="0.25">
      <c r="B24" s="14">
        <v>1</v>
      </c>
      <c r="C24" s="17">
        <v>1</v>
      </c>
      <c r="E24" s="14">
        <v>1</v>
      </c>
      <c r="F24" s="17">
        <v>0.5</v>
      </c>
      <c r="H24" s="14">
        <v>1</v>
      </c>
      <c r="I24" s="17">
        <v>2500000</v>
      </c>
      <c r="K24" s="14">
        <v>1</v>
      </c>
      <c r="L24" s="17">
        <v>625000</v>
      </c>
    </row>
    <row r="25" spans="2:12" x14ac:dyDescent="0.25">
      <c r="B25" s="14">
        <v>2</v>
      </c>
      <c r="C25" s="17">
        <v>1</v>
      </c>
      <c r="E25" s="14">
        <v>2</v>
      </c>
      <c r="F25" s="17">
        <v>0.5</v>
      </c>
      <c r="H25" s="14">
        <v>2</v>
      </c>
      <c r="I25" s="17">
        <v>2500000</v>
      </c>
      <c r="K25" s="14">
        <v>2</v>
      </c>
      <c r="L25" s="17">
        <v>625000</v>
      </c>
    </row>
    <row r="26" spans="2:12" x14ac:dyDescent="0.25">
      <c r="B26" s="14">
        <v>3</v>
      </c>
      <c r="C26" s="17">
        <v>1</v>
      </c>
      <c r="E26" s="14">
        <v>3</v>
      </c>
      <c r="F26" s="17">
        <v>0.5</v>
      </c>
      <c r="H26" s="14">
        <v>3</v>
      </c>
      <c r="I26" s="17">
        <v>2500000</v>
      </c>
      <c r="K26" s="14">
        <v>3</v>
      </c>
      <c r="L26" s="17">
        <v>625000</v>
      </c>
    </row>
    <row r="27" spans="2:12" x14ac:dyDescent="0.25">
      <c r="B27" s="14">
        <v>4</v>
      </c>
      <c r="C27" s="17">
        <v>1</v>
      </c>
      <c r="E27" s="14">
        <v>4</v>
      </c>
      <c r="F27" s="17">
        <v>0.5</v>
      </c>
      <c r="H27" s="14">
        <v>4</v>
      </c>
      <c r="I27" s="17">
        <v>2500000</v>
      </c>
      <c r="K27" s="14">
        <v>4</v>
      </c>
      <c r="L27" s="17">
        <v>625000</v>
      </c>
    </row>
    <row r="28" spans="2:12" x14ac:dyDescent="0.25">
      <c r="B28" s="14">
        <v>5</v>
      </c>
      <c r="C28" s="17">
        <v>1</v>
      </c>
      <c r="E28" s="14">
        <v>5</v>
      </c>
      <c r="F28" s="17">
        <v>0.5</v>
      </c>
      <c r="H28" s="14">
        <v>5</v>
      </c>
      <c r="I28" s="17">
        <v>2500000</v>
      </c>
      <c r="K28" s="14">
        <v>5</v>
      </c>
      <c r="L28" s="17">
        <v>625000</v>
      </c>
    </row>
    <row r="30" spans="2:12" x14ac:dyDescent="0.25">
      <c r="B30" s="18" t="s">
        <v>38</v>
      </c>
      <c r="C30" s="19"/>
      <c r="D30" s="19"/>
      <c r="E30" s="19"/>
      <c r="F30" s="19"/>
      <c r="G30" s="19"/>
      <c r="H30" s="19"/>
      <c r="I30" s="19"/>
      <c r="J30" s="20"/>
    </row>
    <row r="31" spans="2:12" x14ac:dyDescent="0.25">
      <c r="B31" s="21" t="s">
        <v>39</v>
      </c>
      <c r="C31" s="22"/>
      <c r="D31" s="22"/>
      <c r="E31" s="22"/>
      <c r="F31" s="22"/>
      <c r="G31" s="22"/>
      <c r="H31" s="22"/>
      <c r="I31" s="22"/>
      <c r="J31" s="23"/>
    </row>
    <row r="32" spans="2:12" x14ac:dyDescent="0.25">
      <c r="B32" s="21" t="s">
        <v>40</v>
      </c>
      <c r="C32" s="22"/>
      <c r="D32" s="22"/>
      <c r="E32" s="22"/>
      <c r="F32" s="22"/>
      <c r="G32" s="22"/>
      <c r="H32" s="22"/>
      <c r="I32" s="22"/>
      <c r="J32" s="23"/>
    </row>
    <row r="33" spans="2:11" x14ac:dyDescent="0.25">
      <c r="B33" s="24" t="s">
        <v>41</v>
      </c>
      <c r="C33" s="25"/>
      <c r="D33" s="25"/>
      <c r="E33" s="25"/>
      <c r="F33" s="25"/>
      <c r="G33" s="25"/>
      <c r="H33" s="25"/>
      <c r="I33" s="25"/>
      <c r="J33" s="26"/>
    </row>
    <row r="35" spans="2:11" ht="15.75" thickBot="1" x14ac:dyDescent="0.3">
      <c r="B35" s="27" t="s">
        <v>37</v>
      </c>
      <c r="H35" s="28" t="s">
        <v>106</v>
      </c>
      <c r="I35" s="29"/>
      <c r="J35" s="17">
        <v>8</v>
      </c>
    </row>
    <row r="36" spans="2:11" x14ac:dyDescent="0.25">
      <c r="H36" s="30" t="s">
        <v>98</v>
      </c>
      <c r="I36" s="31"/>
      <c r="J36" s="32">
        <v>8000000</v>
      </c>
    </row>
    <row r="37" spans="2:11" x14ac:dyDescent="0.25">
      <c r="B37" s="1" t="s">
        <v>42</v>
      </c>
      <c r="H37" s="28" t="s">
        <v>99</v>
      </c>
      <c r="I37" s="29"/>
      <c r="J37" s="33">
        <v>100000</v>
      </c>
    </row>
    <row r="38" spans="2:11" x14ac:dyDescent="0.25">
      <c r="B38" s="1" t="s">
        <v>43</v>
      </c>
      <c r="H38" s="28" t="s">
        <v>100</v>
      </c>
      <c r="I38" s="29"/>
      <c r="J38" s="34">
        <f>SUM(F52:J52)/J39</f>
        <v>10000000</v>
      </c>
      <c r="K38" s="1" t="s">
        <v>107</v>
      </c>
    </row>
    <row r="39" spans="2:11" x14ac:dyDescent="0.25">
      <c r="B39" s="1" t="s">
        <v>44</v>
      </c>
      <c r="H39" s="28" t="s">
        <v>101</v>
      </c>
      <c r="I39" s="29"/>
      <c r="J39" s="31">
        <v>10</v>
      </c>
    </row>
    <row r="40" spans="2:11" x14ac:dyDescent="0.25">
      <c r="B40" s="1" t="s">
        <v>45</v>
      </c>
      <c r="H40" s="28" t="s">
        <v>102</v>
      </c>
      <c r="I40" s="29"/>
      <c r="J40" s="17">
        <f>SUM(J36+J37+J38)</f>
        <v>18100000</v>
      </c>
    </row>
    <row r="41" spans="2:11" x14ac:dyDescent="0.25">
      <c r="B41" s="1" t="s">
        <v>46</v>
      </c>
      <c r="H41" s="28" t="s">
        <v>103</v>
      </c>
      <c r="I41" s="29"/>
      <c r="J41" s="34">
        <v>3000000</v>
      </c>
    </row>
    <row r="42" spans="2:11" x14ac:dyDescent="0.25">
      <c r="H42" s="28" t="s">
        <v>104</v>
      </c>
      <c r="I42" s="29"/>
      <c r="J42" s="35">
        <v>0.2</v>
      </c>
    </row>
    <row r="43" spans="2:11" x14ac:dyDescent="0.25">
      <c r="H43" s="28" t="s">
        <v>105</v>
      </c>
      <c r="I43" s="29"/>
      <c r="J43" s="35">
        <v>0.1</v>
      </c>
    </row>
    <row r="46" spans="2:11" x14ac:dyDescent="0.25">
      <c r="C46" s="140" t="s">
        <v>97</v>
      </c>
      <c r="D46" s="140"/>
      <c r="E46" s="140"/>
      <c r="F46" s="140"/>
      <c r="G46" s="140"/>
      <c r="H46" s="140"/>
      <c r="I46" s="140"/>
      <c r="J46" s="140"/>
    </row>
    <row r="48" spans="2:11" x14ac:dyDescent="0.25">
      <c r="C48" s="36" t="s">
        <v>59</v>
      </c>
      <c r="D48" s="37"/>
      <c r="E48" s="38" t="s">
        <v>60</v>
      </c>
      <c r="F48" s="39"/>
      <c r="G48" s="39"/>
      <c r="H48" s="39"/>
      <c r="I48" s="39"/>
      <c r="J48" s="40"/>
    </row>
    <row r="49" spans="2:10" x14ac:dyDescent="0.25">
      <c r="C49" s="41"/>
      <c r="D49" s="42"/>
      <c r="E49" s="43">
        <v>0</v>
      </c>
      <c r="F49" s="44">
        <v>1</v>
      </c>
      <c r="G49" s="45">
        <v>2</v>
      </c>
      <c r="H49" s="46">
        <v>3</v>
      </c>
      <c r="I49" s="43">
        <v>4</v>
      </c>
      <c r="J49" s="47">
        <v>5</v>
      </c>
    </row>
    <row r="50" spans="2:10" x14ac:dyDescent="0.25">
      <c r="C50" s="48" t="s">
        <v>61</v>
      </c>
      <c r="D50" s="49"/>
      <c r="E50" s="50"/>
      <c r="F50" s="51">
        <f>+C14</f>
        <v>2500000</v>
      </c>
      <c r="G50" s="51">
        <f>+C15</f>
        <v>2000000</v>
      </c>
      <c r="H50" s="51">
        <f>+C16</f>
        <v>2500000</v>
      </c>
      <c r="I50" s="51">
        <f>+C17</f>
        <v>2000000</v>
      </c>
      <c r="J50" s="15">
        <f>+C18</f>
        <v>3500000</v>
      </c>
    </row>
    <row r="51" spans="2:10" x14ac:dyDescent="0.25">
      <c r="C51" s="48" t="s">
        <v>62</v>
      </c>
      <c r="D51" s="49"/>
      <c r="E51" s="52"/>
      <c r="F51" s="52">
        <f>+$J$35</f>
        <v>8</v>
      </c>
      <c r="G51" s="52">
        <f t="shared" ref="G51:J51" si="0">+$J$35</f>
        <v>8</v>
      </c>
      <c r="H51" s="52">
        <f t="shared" si="0"/>
        <v>8</v>
      </c>
      <c r="I51" s="52">
        <f t="shared" si="0"/>
        <v>8</v>
      </c>
      <c r="J51" s="52">
        <f t="shared" si="0"/>
        <v>8</v>
      </c>
    </row>
    <row r="52" spans="2:10" x14ac:dyDescent="0.25">
      <c r="C52" s="53" t="s">
        <v>47</v>
      </c>
      <c r="D52" s="54"/>
      <c r="E52" s="55"/>
      <c r="F52" s="56">
        <f>SUM(F50*F51)</f>
        <v>20000000</v>
      </c>
      <c r="G52" s="56">
        <f t="shared" ref="G52:J52" si="1">SUM(G50*G51)</f>
        <v>16000000</v>
      </c>
      <c r="H52" s="56">
        <f t="shared" si="1"/>
        <v>20000000</v>
      </c>
      <c r="I52" s="56">
        <f t="shared" si="1"/>
        <v>16000000</v>
      </c>
      <c r="J52" s="56">
        <f t="shared" si="1"/>
        <v>28000000</v>
      </c>
    </row>
    <row r="53" spans="2:10" x14ac:dyDescent="0.25">
      <c r="B53" s="57" t="s">
        <v>48</v>
      </c>
      <c r="C53" s="58" t="s">
        <v>49</v>
      </c>
      <c r="D53" s="59"/>
      <c r="E53" s="60"/>
      <c r="F53" s="61"/>
      <c r="G53" s="61"/>
      <c r="H53" s="61"/>
      <c r="I53" s="61"/>
      <c r="J53" s="61"/>
    </row>
    <row r="54" spans="2:10" x14ac:dyDescent="0.25">
      <c r="B54" s="57"/>
      <c r="C54" s="62" t="s">
        <v>108</v>
      </c>
      <c r="D54" s="62"/>
      <c r="E54" s="60"/>
      <c r="F54" s="61">
        <f>F24*C14</f>
        <v>1250000</v>
      </c>
      <c r="G54" s="61">
        <f>F25*C15</f>
        <v>1000000</v>
      </c>
      <c r="H54" s="61">
        <f>F26*C16</f>
        <v>1250000</v>
      </c>
      <c r="I54" s="61">
        <f>F27*C17</f>
        <v>1000000</v>
      </c>
      <c r="J54" s="61">
        <f>F28*C18</f>
        <v>1750000</v>
      </c>
    </row>
    <row r="55" spans="2:10" x14ac:dyDescent="0.25">
      <c r="B55" s="57"/>
      <c r="C55" s="62" t="s">
        <v>109</v>
      </c>
      <c r="D55" s="62"/>
      <c r="E55" s="63"/>
      <c r="F55" s="64">
        <f>C24*C14</f>
        <v>2500000</v>
      </c>
      <c r="G55" s="64">
        <f>C25*C15</f>
        <v>2000000</v>
      </c>
      <c r="H55" s="64">
        <f>C26*C16</f>
        <v>2500000</v>
      </c>
      <c r="I55" s="64">
        <f>C27*C17</f>
        <v>2000000</v>
      </c>
      <c r="J55" s="64">
        <f>C28*C18</f>
        <v>3500000</v>
      </c>
    </row>
    <row r="56" spans="2:10" x14ac:dyDescent="0.25">
      <c r="B56" s="65" t="s">
        <v>50</v>
      </c>
      <c r="C56" s="66" t="s">
        <v>51</v>
      </c>
      <c r="D56" s="59"/>
      <c r="E56" s="60"/>
      <c r="F56" s="67">
        <f>SUM(F52-F54-F55)</f>
        <v>16250000</v>
      </c>
      <c r="G56" s="67">
        <f t="shared" ref="G56:J56" si="2">SUM(G52-G54-G55)</f>
        <v>13000000</v>
      </c>
      <c r="H56" s="67">
        <f t="shared" si="2"/>
        <v>16250000</v>
      </c>
      <c r="I56" s="67">
        <f t="shared" si="2"/>
        <v>13000000</v>
      </c>
      <c r="J56" s="67">
        <f t="shared" si="2"/>
        <v>22750000</v>
      </c>
    </row>
    <row r="57" spans="2:10" x14ac:dyDescent="0.25">
      <c r="B57" s="57" t="s">
        <v>48</v>
      </c>
      <c r="C57" s="68" t="s">
        <v>52</v>
      </c>
      <c r="D57" s="69"/>
      <c r="E57" s="60"/>
      <c r="F57" s="60"/>
      <c r="G57" s="60"/>
      <c r="H57" s="60"/>
      <c r="I57" s="60"/>
      <c r="J57" s="31"/>
    </row>
    <row r="58" spans="2:10" x14ac:dyDescent="0.25">
      <c r="B58" s="57"/>
      <c r="C58" s="70" t="s">
        <v>110</v>
      </c>
      <c r="D58" s="71"/>
      <c r="E58" s="60"/>
      <c r="F58" s="72">
        <f>+I24</f>
        <v>2500000</v>
      </c>
      <c r="G58" s="72">
        <f>+I25</f>
        <v>2500000</v>
      </c>
      <c r="H58" s="72">
        <f>+I26</f>
        <v>2500000</v>
      </c>
      <c r="I58" s="72">
        <f>+I27</f>
        <v>2500000</v>
      </c>
      <c r="J58" s="17">
        <f>+I28</f>
        <v>2500000</v>
      </c>
    </row>
    <row r="59" spans="2:10" x14ac:dyDescent="0.25">
      <c r="B59" s="57"/>
      <c r="C59" s="70" t="s">
        <v>114</v>
      </c>
      <c r="D59" s="71"/>
      <c r="E59" s="60"/>
      <c r="F59" s="72">
        <f>+L24</f>
        <v>625000</v>
      </c>
      <c r="G59" s="72">
        <f>+L25</f>
        <v>625000</v>
      </c>
      <c r="H59" s="72">
        <f>+L26</f>
        <v>625000</v>
      </c>
      <c r="I59" s="72">
        <f>+L27</f>
        <v>625000</v>
      </c>
      <c r="J59" s="17">
        <f>+L28</f>
        <v>625000</v>
      </c>
    </row>
    <row r="60" spans="2:10" x14ac:dyDescent="0.25">
      <c r="B60" s="57"/>
      <c r="C60" s="70" t="s">
        <v>115</v>
      </c>
      <c r="D60" s="71"/>
      <c r="E60" s="60"/>
      <c r="F60" s="72"/>
      <c r="G60" s="72"/>
      <c r="H60" s="72"/>
      <c r="I60" s="72"/>
      <c r="J60" s="17">
        <f>+J41</f>
        <v>3000000</v>
      </c>
    </row>
    <row r="61" spans="2:10" x14ac:dyDescent="0.25">
      <c r="B61" s="65" t="s">
        <v>50</v>
      </c>
      <c r="C61" s="73" t="s">
        <v>53</v>
      </c>
      <c r="D61" s="74"/>
      <c r="E61" s="60"/>
      <c r="F61" s="72">
        <f>SUM(F56-F58-F59)</f>
        <v>13125000</v>
      </c>
      <c r="G61" s="72">
        <f t="shared" ref="G61:I61" si="3">SUM(G56-G58-G59)</f>
        <v>9875000</v>
      </c>
      <c r="H61" s="72">
        <f t="shared" si="3"/>
        <v>13125000</v>
      </c>
      <c r="I61" s="72">
        <f t="shared" si="3"/>
        <v>9875000</v>
      </c>
      <c r="J61" s="72">
        <f>SUM(J56-J58-J59+J60)</f>
        <v>22625000</v>
      </c>
    </row>
    <row r="62" spans="2:10" x14ac:dyDescent="0.25">
      <c r="B62" s="57" t="s">
        <v>48</v>
      </c>
      <c r="C62" s="68" t="s">
        <v>116</v>
      </c>
      <c r="D62" s="69"/>
      <c r="E62" s="75"/>
      <c r="F62" s="76">
        <f>SUM(F61*38%)</f>
        <v>4987500</v>
      </c>
      <c r="G62" s="76">
        <f t="shared" ref="G62:J62" si="4">SUM(G61*38%)</f>
        <v>3752500</v>
      </c>
      <c r="H62" s="76">
        <f t="shared" si="4"/>
        <v>4987500</v>
      </c>
      <c r="I62" s="76">
        <f t="shared" si="4"/>
        <v>3752500</v>
      </c>
      <c r="J62" s="76">
        <f t="shared" si="4"/>
        <v>8597500</v>
      </c>
    </row>
    <row r="63" spans="2:10" x14ac:dyDescent="0.25">
      <c r="B63" s="65" t="s">
        <v>50</v>
      </c>
      <c r="C63" s="66" t="s">
        <v>56</v>
      </c>
      <c r="D63" s="74"/>
      <c r="E63" s="75"/>
      <c r="F63" s="72">
        <f>SUM(F61-F62)</f>
        <v>8137500</v>
      </c>
      <c r="G63" s="72">
        <f t="shared" ref="G63:J63" si="5">SUM(G61-G62)</f>
        <v>6122500</v>
      </c>
      <c r="H63" s="72">
        <f t="shared" si="5"/>
        <v>8137500</v>
      </c>
      <c r="I63" s="72">
        <f t="shared" si="5"/>
        <v>6122500</v>
      </c>
      <c r="J63" s="72">
        <f t="shared" si="5"/>
        <v>14027500</v>
      </c>
    </row>
    <row r="64" spans="2:10" x14ac:dyDescent="0.25">
      <c r="B64" s="57" t="s">
        <v>48</v>
      </c>
      <c r="C64" s="68" t="s">
        <v>54</v>
      </c>
      <c r="D64" s="69"/>
      <c r="E64" s="75"/>
      <c r="F64" s="75">
        <f>$J$36*$J$42</f>
        <v>1600000</v>
      </c>
      <c r="G64" s="75">
        <f t="shared" ref="G64:J64" si="6">$J$36*$J$42</f>
        <v>1600000</v>
      </c>
      <c r="H64" s="75">
        <f t="shared" si="6"/>
        <v>1600000</v>
      </c>
      <c r="I64" s="75">
        <f t="shared" si="6"/>
        <v>1600000</v>
      </c>
      <c r="J64" s="75">
        <f t="shared" si="6"/>
        <v>1600000</v>
      </c>
    </row>
    <row r="65" spans="2:10" x14ac:dyDescent="0.25">
      <c r="B65" s="57"/>
      <c r="C65" s="77" t="s">
        <v>117</v>
      </c>
      <c r="D65" s="77"/>
      <c r="E65" s="75"/>
      <c r="F65" s="75"/>
      <c r="G65" s="75"/>
      <c r="H65" s="75"/>
      <c r="I65" s="75"/>
      <c r="J65" s="75"/>
    </row>
    <row r="66" spans="2:10" x14ac:dyDescent="0.25">
      <c r="B66" s="65" t="s">
        <v>50</v>
      </c>
      <c r="C66" s="78" t="s">
        <v>63</v>
      </c>
      <c r="D66" s="79"/>
      <c r="E66" s="75"/>
      <c r="F66" s="72">
        <f>SUM(F63-F64)</f>
        <v>6537500</v>
      </c>
      <c r="G66" s="72">
        <f t="shared" ref="G66:J66" si="7">SUM(G63-G64)</f>
        <v>4522500</v>
      </c>
      <c r="H66" s="72">
        <f t="shared" si="7"/>
        <v>6537500</v>
      </c>
      <c r="I66" s="72">
        <f t="shared" si="7"/>
        <v>4522500</v>
      </c>
      <c r="J66" s="72">
        <f t="shared" si="7"/>
        <v>12427500</v>
      </c>
    </row>
    <row r="67" spans="2:10" x14ac:dyDescent="0.25">
      <c r="B67" s="57" t="s">
        <v>48</v>
      </c>
      <c r="C67" s="80" t="s">
        <v>64</v>
      </c>
      <c r="D67" s="81"/>
      <c r="E67" s="75"/>
      <c r="F67" s="75">
        <f>SUM(F66)*38%</f>
        <v>2484250</v>
      </c>
      <c r="G67" s="75">
        <f t="shared" ref="G67:J67" si="8">SUM(G66)*38%</f>
        <v>1718550</v>
      </c>
      <c r="H67" s="75">
        <f t="shared" si="8"/>
        <v>2484250</v>
      </c>
      <c r="I67" s="75">
        <f t="shared" si="8"/>
        <v>1718550</v>
      </c>
      <c r="J67" s="75">
        <f t="shared" si="8"/>
        <v>4722450</v>
      </c>
    </row>
    <row r="68" spans="2:10" x14ac:dyDescent="0.25">
      <c r="B68" s="65" t="s">
        <v>50</v>
      </c>
      <c r="C68" s="78" t="s">
        <v>57</v>
      </c>
      <c r="D68" s="79"/>
      <c r="E68" s="75"/>
      <c r="F68" s="75">
        <f>SUM(F66-F67)</f>
        <v>4053250</v>
      </c>
      <c r="G68" s="75">
        <f t="shared" ref="G68:J68" si="9">SUM(G66-G67)</f>
        <v>2803950</v>
      </c>
      <c r="H68" s="75">
        <f t="shared" si="9"/>
        <v>4053250</v>
      </c>
      <c r="I68" s="75">
        <f t="shared" si="9"/>
        <v>2803950</v>
      </c>
      <c r="J68" s="75">
        <f t="shared" si="9"/>
        <v>7705050</v>
      </c>
    </row>
    <row r="69" spans="2:10" x14ac:dyDescent="0.25">
      <c r="B69" s="57" t="s">
        <v>55</v>
      </c>
      <c r="C69" s="82" t="s">
        <v>54</v>
      </c>
      <c r="D69" s="80"/>
      <c r="E69" s="75"/>
      <c r="F69" s="75">
        <f>+F64</f>
        <v>1600000</v>
      </c>
      <c r="G69" s="75">
        <f>+G64</f>
        <v>1600000</v>
      </c>
      <c r="H69" s="75">
        <f>+H64</f>
        <v>1600000</v>
      </c>
      <c r="I69" s="75">
        <f>+I64</f>
        <v>1600000</v>
      </c>
      <c r="J69" s="75">
        <f>+J64</f>
        <v>1600000</v>
      </c>
    </row>
    <row r="70" spans="2:10" x14ac:dyDescent="0.25">
      <c r="B70" s="57" t="s">
        <v>55</v>
      </c>
      <c r="C70" s="83" t="s">
        <v>111</v>
      </c>
      <c r="D70" s="84"/>
      <c r="E70" s="75"/>
      <c r="F70" s="75"/>
      <c r="G70" s="75"/>
      <c r="H70" s="75"/>
      <c r="I70" s="75"/>
      <c r="J70" s="75">
        <f>+J41</f>
        <v>3000000</v>
      </c>
    </row>
    <row r="71" spans="2:10" x14ac:dyDescent="0.25">
      <c r="B71" s="65" t="s">
        <v>50</v>
      </c>
      <c r="C71" s="85" t="s">
        <v>58</v>
      </c>
      <c r="D71" s="86"/>
      <c r="E71" s="75">
        <f>-(+J40)</f>
        <v>-18100000</v>
      </c>
      <c r="F71" s="75">
        <f>SUM(F68+F69+F70)</f>
        <v>5653250</v>
      </c>
      <c r="G71" s="75">
        <f t="shared" ref="G71:J71" si="10">SUM(G68+G69+G70)</f>
        <v>4403950</v>
      </c>
      <c r="H71" s="75">
        <f t="shared" si="10"/>
        <v>5653250</v>
      </c>
      <c r="I71" s="75">
        <f t="shared" si="10"/>
        <v>4403950</v>
      </c>
      <c r="J71" s="75">
        <f t="shared" si="10"/>
        <v>12305050</v>
      </c>
    </row>
    <row r="72" spans="2:10" ht="15.75" x14ac:dyDescent="0.25">
      <c r="C72" s="166" t="s">
        <v>65</v>
      </c>
      <c r="D72" s="166"/>
      <c r="E72" s="167">
        <f>+E71</f>
        <v>-18100000</v>
      </c>
      <c r="F72" s="168">
        <f>PV($J$43,F49,,-F71)</f>
        <v>5139318.1818181816</v>
      </c>
      <c r="G72" s="168">
        <f t="shared" ref="G72:J72" si="11">PV($J$43,G49,,-G71)</f>
        <v>3639628.0991735533</v>
      </c>
      <c r="H72" s="168">
        <f t="shared" si="11"/>
        <v>4247370.3981968435</v>
      </c>
      <c r="I72" s="168">
        <f t="shared" si="11"/>
        <v>3007957.1067550024</v>
      </c>
      <c r="J72" s="168">
        <f t="shared" si="11"/>
        <v>7640467.9263090547</v>
      </c>
    </row>
    <row r="74" spans="2:10" x14ac:dyDescent="0.25">
      <c r="C74" s="163" t="s">
        <v>74</v>
      </c>
      <c r="D74" s="145">
        <f>SUM(F72:J72)</f>
        <v>23674741.712252639</v>
      </c>
    </row>
    <row r="75" spans="2:10" x14ac:dyDescent="0.25">
      <c r="C75" s="162" t="s">
        <v>75</v>
      </c>
      <c r="D75" s="145">
        <f>SUM(D74+E72)</f>
        <v>5574741.7122526392</v>
      </c>
      <c r="E75" s="1" t="s">
        <v>78</v>
      </c>
    </row>
    <row r="76" spans="2:10" x14ac:dyDescent="0.25">
      <c r="C76" s="88"/>
    </row>
    <row r="77" spans="2:10" x14ac:dyDescent="0.25">
      <c r="C77" s="162" t="s">
        <v>66</v>
      </c>
      <c r="D77" s="146">
        <f>IRR(E71:J71)</f>
        <v>0.20021929760453383</v>
      </c>
      <c r="E77" s="1" t="s">
        <v>79</v>
      </c>
    </row>
    <row r="78" spans="2:10" x14ac:dyDescent="0.25">
      <c r="C78" s="88"/>
      <c r="E78" s="89" t="s">
        <v>112</v>
      </c>
    </row>
    <row r="79" spans="2:10" x14ac:dyDescent="0.25">
      <c r="C79" s="88"/>
    </row>
    <row r="80" spans="2:10" x14ac:dyDescent="0.25">
      <c r="C80" s="162" t="s">
        <v>76</v>
      </c>
      <c r="D80" s="147">
        <f>SUM(D74/-E72)</f>
        <v>1.3079967796824663</v>
      </c>
    </row>
    <row r="81" spans="3:6" x14ac:dyDescent="0.25">
      <c r="C81" s="150"/>
      <c r="D81" s="91">
        <f>SUM(D80-1)</f>
        <v>0.3079967796824663</v>
      </c>
      <c r="E81" s="1" t="s">
        <v>113</v>
      </c>
    </row>
    <row r="82" spans="3:6" x14ac:dyDescent="0.25">
      <c r="C82" s="88"/>
    </row>
    <row r="83" spans="3:6" x14ac:dyDescent="0.25">
      <c r="C83" s="164" t="s">
        <v>77</v>
      </c>
      <c r="D83" s="165"/>
    </row>
    <row r="84" spans="3:6" x14ac:dyDescent="0.25">
      <c r="C84" s="149" t="s">
        <v>82</v>
      </c>
      <c r="D84" s="153">
        <v>2</v>
      </c>
      <c r="E84" s="136">
        <f>SUM(F72:G72)</f>
        <v>8778946.2809917349</v>
      </c>
      <c r="F84" s="137">
        <f>SUM(H72/12)</f>
        <v>353947.53318307031</v>
      </c>
    </row>
    <row r="85" spans="3:6" x14ac:dyDescent="0.25">
      <c r="C85" s="92" t="s">
        <v>83</v>
      </c>
      <c r="D85" s="135">
        <v>8</v>
      </c>
      <c r="E85" s="138">
        <f>SUM(-E84-E72)</f>
        <v>9321053.7190082651</v>
      </c>
      <c r="F85" s="23"/>
    </row>
    <row r="86" spans="3:6" x14ac:dyDescent="0.25">
      <c r="C86" s="92" t="s">
        <v>84</v>
      </c>
      <c r="D86" s="135">
        <v>11</v>
      </c>
      <c r="E86" s="21">
        <f>SUM(E85/F84)</f>
        <v>26.334563304293997</v>
      </c>
      <c r="F86" s="23"/>
    </row>
    <row r="87" spans="3:6" x14ac:dyDescent="0.25">
      <c r="E87" s="24">
        <v>0.37</v>
      </c>
      <c r="F87" s="26">
        <f>SUM(E87*30)</f>
        <v>11.1</v>
      </c>
    </row>
  </sheetData>
  <mergeCells count="30">
    <mergeCell ref="C83:D83"/>
    <mergeCell ref="C69:D69"/>
    <mergeCell ref="C71:D71"/>
    <mergeCell ref="C72:D72"/>
    <mergeCell ref="C46:J46"/>
    <mergeCell ref="H39:I39"/>
    <mergeCell ref="H43:I43"/>
    <mergeCell ref="H42:I42"/>
    <mergeCell ref="C54:D54"/>
    <mergeCell ref="C55:D55"/>
    <mergeCell ref="C52:D52"/>
    <mergeCell ref="C57:D57"/>
    <mergeCell ref="C62:D62"/>
    <mergeCell ref="C64:D64"/>
    <mergeCell ref="C67:D67"/>
    <mergeCell ref="C48:D48"/>
    <mergeCell ref="E48:J48"/>
    <mergeCell ref="K22:L22"/>
    <mergeCell ref="C49:D49"/>
    <mergeCell ref="C50:D50"/>
    <mergeCell ref="C51:D51"/>
    <mergeCell ref="B2:I2"/>
    <mergeCell ref="B22:C22"/>
    <mergeCell ref="E22:F22"/>
    <mergeCell ref="H22:I22"/>
    <mergeCell ref="H35:I35"/>
    <mergeCell ref="H37:I37"/>
    <mergeCell ref="H38:I38"/>
    <mergeCell ref="H40:I40"/>
    <mergeCell ref="H41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9.3</vt:lpstr>
      <vt:lpstr>EJERCICIO 9.4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2016-11-27T15:23:09Z</dcterms:created>
  <dcterms:modified xsi:type="dcterms:W3CDTF">2017-02-11T16:06:44Z</dcterms:modified>
</cp:coreProperties>
</file>